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ivate\COVID 19\ARPA\"/>
    </mc:Choice>
  </mc:AlternateContent>
  <xr:revisionPtr revIDLastSave="0" documentId="8_{EC15D159-2E1F-446A-AF18-2AB192440B65}" xr6:coauthVersionLast="47" xr6:coauthVersionMax="47" xr10:uidLastSave="{00000000-0000-0000-0000-000000000000}"/>
  <bookViews>
    <workbookView xWindow="-120" yWindow="-120" windowWidth="29040" windowHeight="15840" activeTab="10" xr2:uid="{B8B9CE17-215E-46D4-8B89-7195A2DE983C}"/>
  </bookViews>
  <sheets>
    <sheet name="51222" sheetId="1" r:id="rId1"/>
    <sheet name="June 2022" sheetId="2" state="hidden" r:id="rId2"/>
    <sheet name="July 2022" sheetId="3" state="hidden" r:id="rId3"/>
    <sheet name="Sept 2022" sheetId="4" state="hidden" r:id="rId4"/>
    <sheet name="Jan 2023" sheetId="5" state="hidden" r:id="rId5"/>
    <sheet name="Apr 2023" sheetId="6" state="hidden" r:id="rId6"/>
    <sheet name="May 2023" sheetId="7" state="hidden" r:id="rId7"/>
    <sheet name="June 2023" sheetId="8" r:id="rId8"/>
    <sheet name="July 2023" sheetId="9" r:id="rId9"/>
    <sheet name="Aug 2023" sheetId="10" r:id="rId10"/>
    <sheet name="Sep 2023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1" l="1"/>
  <c r="B37" i="11"/>
  <c r="B38" i="11"/>
  <c r="M34" i="11"/>
  <c r="B33" i="11"/>
  <c r="P34" i="11"/>
  <c r="O34" i="11"/>
  <c r="O37" i="11" s="1"/>
  <c r="N34" i="11"/>
  <c r="N37" i="11" s="1"/>
  <c r="K34" i="11"/>
  <c r="K37" i="11" s="1"/>
  <c r="H34" i="11"/>
  <c r="G34" i="11"/>
  <c r="D34" i="11"/>
  <c r="D37" i="11" s="1"/>
  <c r="B32" i="11"/>
  <c r="B31" i="11"/>
  <c r="M30" i="11"/>
  <c r="B30" i="11" s="1"/>
  <c r="I30" i="11"/>
  <c r="B29" i="11"/>
  <c r="B28" i="11"/>
  <c r="M27" i="11"/>
  <c r="I27" i="11"/>
  <c r="J26" i="11"/>
  <c r="B26" i="11" s="1"/>
  <c r="B25" i="11"/>
  <c r="L24" i="11"/>
  <c r="I24" i="11"/>
  <c r="L23" i="11"/>
  <c r="L34" i="11" s="1"/>
  <c r="L37" i="11" s="1"/>
  <c r="I23" i="11"/>
  <c r="B23" i="11" s="1"/>
  <c r="E22" i="11"/>
  <c r="B22" i="11" s="1"/>
  <c r="B21" i="11"/>
  <c r="B20" i="11"/>
  <c r="E19" i="11"/>
  <c r="B18" i="11"/>
  <c r="B17" i="11"/>
  <c r="E16" i="11"/>
  <c r="B16" i="11" s="1"/>
  <c r="Q15" i="11"/>
  <c r="B15" i="11"/>
  <c r="B14" i="11"/>
  <c r="B13" i="11"/>
  <c r="F12" i="11"/>
  <c r="F34" i="11" s="1"/>
  <c r="B12" i="11"/>
  <c r="B11" i="11"/>
  <c r="B10" i="11"/>
  <c r="B9" i="11"/>
  <c r="M7" i="11"/>
  <c r="J7" i="11"/>
  <c r="H7" i="11"/>
  <c r="G7" i="11"/>
  <c r="G37" i="11" s="1"/>
  <c r="F7" i="11"/>
  <c r="M7" i="10"/>
  <c r="J7" i="10"/>
  <c r="O36" i="10"/>
  <c r="N36" i="10"/>
  <c r="M36" i="10"/>
  <c r="L36" i="10"/>
  <c r="K36" i="10"/>
  <c r="J36" i="10"/>
  <c r="I36" i="10"/>
  <c r="H36" i="10"/>
  <c r="G36" i="10"/>
  <c r="F36" i="10"/>
  <c r="E36" i="10"/>
  <c r="B34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D36" i="10" s="1"/>
  <c r="M30" i="10"/>
  <c r="I30" i="10"/>
  <c r="M27" i="10"/>
  <c r="I27" i="10"/>
  <c r="J26" i="10"/>
  <c r="L24" i="10"/>
  <c r="I24" i="10"/>
  <c r="L23" i="10"/>
  <c r="I23" i="10"/>
  <c r="E22" i="10"/>
  <c r="E19" i="10"/>
  <c r="E16" i="10"/>
  <c r="Q15" i="10"/>
  <c r="F12" i="10"/>
  <c r="H7" i="10"/>
  <c r="G7" i="10"/>
  <c r="F7" i="10"/>
  <c r="P32" i="9"/>
  <c r="O32" i="9"/>
  <c r="O35" i="9" s="1"/>
  <c r="N32" i="9"/>
  <c r="M32" i="9"/>
  <c r="L32" i="9"/>
  <c r="K32" i="9"/>
  <c r="J32" i="9"/>
  <c r="I32" i="9"/>
  <c r="H32" i="9"/>
  <c r="G32" i="9"/>
  <c r="F32" i="9"/>
  <c r="E32" i="9"/>
  <c r="D32" i="9"/>
  <c r="Q33" i="9"/>
  <c r="B31" i="9"/>
  <c r="N35" i="9"/>
  <c r="K35" i="9"/>
  <c r="M30" i="9"/>
  <c r="I30" i="9"/>
  <c r="B30" i="9"/>
  <c r="B32" i="9" s="1"/>
  <c r="B29" i="9"/>
  <c r="B28" i="9"/>
  <c r="M27" i="9"/>
  <c r="M35" i="9" s="1"/>
  <c r="I27" i="9"/>
  <c r="B27" i="9" s="1"/>
  <c r="J26" i="9"/>
  <c r="B26" i="9"/>
  <c r="B25" i="9"/>
  <c r="L24" i="9"/>
  <c r="B24" i="9" s="1"/>
  <c r="I24" i="9"/>
  <c r="L23" i="9"/>
  <c r="I23" i="9"/>
  <c r="B23" i="9"/>
  <c r="E22" i="9"/>
  <c r="B22" i="9" s="1"/>
  <c r="B21" i="9"/>
  <c r="B20" i="9"/>
  <c r="E19" i="9"/>
  <c r="Q27" i="9" s="1"/>
  <c r="B19" i="9"/>
  <c r="B18" i="9"/>
  <c r="B17" i="9"/>
  <c r="E16" i="9"/>
  <c r="B16" i="9"/>
  <c r="B15" i="9"/>
  <c r="B14" i="9"/>
  <c r="B13" i="9"/>
  <c r="F12" i="9"/>
  <c r="F35" i="9" s="1"/>
  <c r="B12" i="9"/>
  <c r="B11" i="9"/>
  <c r="B10" i="9"/>
  <c r="B9" i="9"/>
  <c r="J7" i="9"/>
  <c r="H7" i="9"/>
  <c r="G7" i="9"/>
  <c r="F7" i="9"/>
  <c r="F7" i="8"/>
  <c r="M30" i="8"/>
  <c r="I30" i="8"/>
  <c r="B30" i="8"/>
  <c r="O34" i="8"/>
  <c r="N34" i="8"/>
  <c r="P31" i="8"/>
  <c r="O31" i="8"/>
  <c r="N31" i="8"/>
  <c r="K31" i="8"/>
  <c r="K34" i="8" s="1"/>
  <c r="H31" i="8"/>
  <c r="H34" i="8" s="1"/>
  <c r="G31" i="8"/>
  <c r="G34" i="8" s="1"/>
  <c r="F31" i="8"/>
  <c r="F34" i="8" s="1"/>
  <c r="E31" i="8"/>
  <c r="E34" i="8" s="1"/>
  <c r="D31" i="8"/>
  <c r="D34" i="8" s="1"/>
  <c r="B29" i="8"/>
  <c r="B28" i="8"/>
  <c r="M27" i="8"/>
  <c r="M31" i="8" s="1"/>
  <c r="M34" i="8" s="1"/>
  <c r="I27" i="8"/>
  <c r="B27" i="8"/>
  <c r="J26" i="8"/>
  <c r="J31" i="8" s="1"/>
  <c r="B26" i="8"/>
  <c r="B25" i="8"/>
  <c r="L24" i="8"/>
  <c r="L31" i="8" s="1"/>
  <c r="L34" i="8" s="1"/>
  <c r="I24" i="8"/>
  <c r="B24" i="8" s="1"/>
  <c r="L23" i="8"/>
  <c r="I23" i="8"/>
  <c r="B23" i="8"/>
  <c r="E22" i="8"/>
  <c r="B22" i="8"/>
  <c r="B21" i="8"/>
  <c r="B20" i="8"/>
  <c r="E19" i="8"/>
  <c r="Q27" i="8" s="1"/>
  <c r="B19" i="8"/>
  <c r="B18" i="8"/>
  <c r="B17" i="8"/>
  <c r="E16" i="8"/>
  <c r="B16" i="8" s="1"/>
  <c r="B15" i="8"/>
  <c r="B14" i="8"/>
  <c r="B13" i="8"/>
  <c r="F12" i="8"/>
  <c r="Q15" i="8" s="1"/>
  <c r="B12" i="8"/>
  <c r="B11" i="8"/>
  <c r="B10" i="8"/>
  <c r="B9" i="8"/>
  <c r="P7" i="8"/>
  <c r="P34" i="8" s="1"/>
  <c r="J7" i="8"/>
  <c r="H7" i="8"/>
  <c r="G7" i="8"/>
  <c r="O31" i="7"/>
  <c r="H37" i="11" l="1"/>
  <c r="B24" i="11"/>
  <c r="M37" i="11"/>
  <c r="B27" i="11"/>
  <c r="Q27" i="11"/>
  <c r="Q35" i="11" s="1"/>
  <c r="F37" i="11"/>
  <c r="I34" i="11"/>
  <c r="I37" i="11" s="1"/>
  <c r="J34" i="11"/>
  <c r="J37" i="11" s="1"/>
  <c r="P7" i="11"/>
  <c r="P37" i="11" s="1"/>
  <c r="B19" i="11"/>
  <c r="E34" i="11"/>
  <c r="E37" i="11" s="1"/>
  <c r="B33" i="10"/>
  <c r="B36" i="10" s="1"/>
  <c r="Q27" i="10"/>
  <c r="Q34" i="10" s="1"/>
  <c r="P7" i="10"/>
  <c r="P36" i="10" s="1"/>
  <c r="B37" i="10" s="1"/>
  <c r="B33" i="9"/>
  <c r="D35" i="9"/>
  <c r="J35" i="9"/>
  <c r="I35" i="9"/>
  <c r="B35" i="9"/>
  <c r="L35" i="9"/>
  <c r="Q15" i="9"/>
  <c r="G35" i="9"/>
  <c r="H35" i="9"/>
  <c r="E35" i="9"/>
  <c r="P7" i="9"/>
  <c r="P35" i="9" s="1"/>
  <c r="B31" i="8"/>
  <c r="B34" i="8" s="1"/>
  <c r="J34" i="8"/>
  <c r="Q32" i="8"/>
  <c r="I31" i="8"/>
  <c r="I34" i="8" s="1"/>
  <c r="B29" i="7"/>
  <c r="B28" i="7"/>
  <c r="O34" i="7"/>
  <c r="P31" i="7"/>
  <c r="N31" i="7"/>
  <c r="K31" i="7"/>
  <c r="K34" i="7" s="1"/>
  <c r="H31" i="7"/>
  <c r="G31" i="7"/>
  <c r="D31" i="7"/>
  <c r="M27" i="7"/>
  <c r="I27" i="7"/>
  <c r="J26" i="7"/>
  <c r="J31" i="7" s="1"/>
  <c r="B25" i="7"/>
  <c r="L24" i="7"/>
  <c r="I24" i="7"/>
  <c r="B24" i="7" s="1"/>
  <c r="L23" i="7"/>
  <c r="I23" i="7"/>
  <c r="E22" i="7"/>
  <c r="B22" i="7" s="1"/>
  <c r="B21" i="7"/>
  <c r="B20" i="7"/>
  <c r="E19" i="7"/>
  <c r="B19" i="7" s="1"/>
  <c r="B18" i="7"/>
  <c r="B17" i="7"/>
  <c r="E16" i="7"/>
  <c r="B16" i="7" s="1"/>
  <c r="B15" i="7"/>
  <c r="B14" i="7"/>
  <c r="B13" i="7"/>
  <c r="F12" i="7"/>
  <c r="Q15" i="7" s="1"/>
  <c r="B11" i="7"/>
  <c r="B10" i="7"/>
  <c r="B9" i="7"/>
  <c r="N7" i="7"/>
  <c r="J7" i="7"/>
  <c r="H7" i="7"/>
  <c r="H34" i="7" s="1"/>
  <c r="G7" i="7"/>
  <c r="G34" i="7" s="1"/>
  <c r="F7" i="7"/>
  <c r="O32" i="6"/>
  <c r="J7" i="6"/>
  <c r="P7" i="6" s="1"/>
  <c r="P29" i="6"/>
  <c r="N29" i="6"/>
  <c r="K29" i="6"/>
  <c r="K32" i="6" s="1"/>
  <c r="H29" i="6"/>
  <c r="G29" i="6"/>
  <c r="F29" i="6"/>
  <c r="D29" i="6"/>
  <c r="D32" i="6" s="1"/>
  <c r="M27" i="6"/>
  <c r="M29" i="6" s="1"/>
  <c r="M32" i="6" s="1"/>
  <c r="I27" i="6"/>
  <c r="J26" i="6"/>
  <c r="J29" i="6" s="1"/>
  <c r="J32" i="6" s="1"/>
  <c r="B25" i="6"/>
  <c r="L24" i="6"/>
  <c r="I24" i="6"/>
  <c r="L23" i="6"/>
  <c r="I23" i="6"/>
  <c r="E22" i="6"/>
  <c r="B22" i="6" s="1"/>
  <c r="B21" i="6"/>
  <c r="B20" i="6"/>
  <c r="E19" i="6"/>
  <c r="B19" i="6" s="1"/>
  <c r="B18" i="6"/>
  <c r="B17" i="6"/>
  <c r="E16" i="6"/>
  <c r="B15" i="6"/>
  <c r="B14" i="6"/>
  <c r="B13" i="6"/>
  <c r="F12" i="6"/>
  <c r="Q15" i="6" s="1"/>
  <c r="B12" i="6"/>
  <c r="B11" i="6"/>
  <c r="B10" i="6"/>
  <c r="B9" i="6"/>
  <c r="N7" i="6"/>
  <c r="N32" i="6" s="1"/>
  <c r="H7" i="6"/>
  <c r="G7" i="6"/>
  <c r="F7" i="6"/>
  <c r="I27" i="5"/>
  <c r="M27" i="5"/>
  <c r="M29" i="5" s="1"/>
  <c r="M32" i="5" s="1"/>
  <c r="J26" i="5"/>
  <c r="B26" i="5" s="1"/>
  <c r="E22" i="5"/>
  <c r="B22" i="5" s="1"/>
  <c r="E19" i="5"/>
  <c r="B19" i="5" s="1"/>
  <c r="L24" i="5"/>
  <c r="I24" i="5"/>
  <c r="N7" i="5"/>
  <c r="O29" i="5"/>
  <c r="N29" i="5"/>
  <c r="K29" i="5"/>
  <c r="K32" i="5" s="1"/>
  <c r="H29" i="5"/>
  <c r="G29" i="5"/>
  <c r="D29" i="5"/>
  <c r="B25" i="5"/>
  <c r="L23" i="5"/>
  <c r="I23" i="5"/>
  <c r="B21" i="5"/>
  <c r="B20" i="5"/>
  <c r="B18" i="5"/>
  <c r="B17" i="5"/>
  <c r="E16" i="5"/>
  <c r="B16" i="5" s="1"/>
  <c r="B15" i="5"/>
  <c r="B14" i="5"/>
  <c r="B13" i="5"/>
  <c r="F12" i="5"/>
  <c r="F29" i="5" s="1"/>
  <c r="B11" i="5"/>
  <c r="B10" i="5"/>
  <c r="B9" i="5"/>
  <c r="H7" i="5"/>
  <c r="G7" i="5"/>
  <c r="F7" i="5"/>
  <c r="O7" i="5" s="1"/>
  <c r="I23" i="4"/>
  <c r="B23" i="4" s="1"/>
  <c r="L23" i="4"/>
  <c r="J30" i="4"/>
  <c r="N27" i="4"/>
  <c r="M27" i="4"/>
  <c r="M30" i="4" s="1"/>
  <c r="L27" i="4"/>
  <c r="L30" i="4" s="1"/>
  <c r="K27" i="4"/>
  <c r="K30" i="4" s="1"/>
  <c r="J27" i="4"/>
  <c r="H27" i="4"/>
  <c r="G27" i="4"/>
  <c r="G30" i="4" s="1"/>
  <c r="D27" i="4"/>
  <c r="D30" i="4" s="1"/>
  <c r="B25" i="4"/>
  <c r="B24" i="4"/>
  <c r="B22" i="4"/>
  <c r="B21" i="4"/>
  <c r="B20" i="4"/>
  <c r="B19" i="4"/>
  <c r="B18" i="4"/>
  <c r="B17" i="4"/>
  <c r="E16" i="4"/>
  <c r="E27" i="4" s="1"/>
  <c r="B16" i="4"/>
  <c r="B15" i="4"/>
  <c r="B14" i="4"/>
  <c r="B13" i="4"/>
  <c r="F12" i="4"/>
  <c r="F27" i="4" s="1"/>
  <c r="B12" i="4"/>
  <c r="B11" i="4"/>
  <c r="B10" i="4"/>
  <c r="B9" i="4"/>
  <c r="N7" i="4"/>
  <c r="N30" i="4" s="1"/>
  <c r="H7" i="4"/>
  <c r="G7" i="4"/>
  <c r="F7" i="4"/>
  <c r="G7" i="3"/>
  <c r="H7" i="3"/>
  <c r="K30" i="3"/>
  <c r="N27" i="3"/>
  <c r="M27" i="3"/>
  <c r="M30" i="3" s="1"/>
  <c r="L27" i="3"/>
  <c r="L30" i="3" s="1"/>
  <c r="K27" i="3"/>
  <c r="J27" i="3"/>
  <c r="J30" i="3" s="1"/>
  <c r="I27" i="3"/>
  <c r="I30" i="3" s="1"/>
  <c r="H27" i="3"/>
  <c r="G27" i="3"/>
  <c r="D27" i="3"/>
  <c r="B25" i="3"/>
  <c r="B24" i="3"/>
  <c r="B23" i="3"/>
  <c r="B22" i="3"/>
  <c r="B21" i="3"/>
  <c r="B20" i="3"/>
  <c r="B19" i="3"/>
  <c r="B18" i="3"/>
  <c r="B17" i="3"/>
  <c r="E16" i="3"/>
  <c r="E27" i="3" s="1"/>
  <c r="E30" i="3" s="1"/>
  <c r="B16" i="3"/>
  <c r="B15" i="3"/>
  <c r="B14" i="3"/>
  <c r="B13" i="3"/>
  <c r="F12" i="3"/>
  <c r="B12" i="3" s="1"/>
  <c r="B11" i="3"/>
  <c r="B10" i="3"/>
  <c r="B9" i="3"/>
  <c r="F7" i="3"/>
  <c r="E16" i="2"/>
  <c r="B16" i="2" s="1"/>
  <c r="G7" i="2"/>
  <c r="N27" i="2"/>
  <c r="M27" i="2"/>
  <c r="M30" i="2" s="1"/>
  <c r="L27" i="2"/>
  <c r="L30" i="2" s="1"/>
  <c r="K27" i="2"/>
  <c r="K30" i="2" s="1"/>
  <c r="J27" i="2"/>
  <c r="J30" i="2" s="1"/>
  <c r="I27" i="2"/>
  <c r="I30" i="2" s="1"/>
  <c r="H27" i="2"/>
  <c r="G27" i="2"/>
  <c r="D27" i="2"/>
  <c r="D30" i="2" s="1"/>
  <c r="B25" i="2"/>
  <c r="B24" i="2"/>
  <c r="B23" i="2"/>
  <c r="B22" i="2"/>
  <c r="B21" i="2"/>
  <c r="B20" i="2"/>
  <c r="B19" i="2"/>
  <c r="B18" i="2"/>
  <c r="B17" i="2"/>
  <c r="B15" i="2"/>
  <c r="B14" i="2"/>
  <c r="B13" i="2"/>
  <c r="F12" i="2"/>
  <c r="F27" i="2" s="1"/>
  <c r="B12" i="2"/>
  <c r="B11" i="2"/>
  <c r="B10" i="2"/>
  <c r="B9" i="2"/>
  <c r="H7" i="2"/>
  <c r="F7" i="2"/>
  <c r="H7" i="1"/>
  <c r="G7" i="1"/>
  <c r="F7" i="1"/>
  <c r="B35" i="11" l="1"/>
  <c r="B36" i="9"/>
  <c r="B35" i="8"/>
  <c r="B32" i="8"/>
  <c r="H32" i="5"/>
  <c r="B24" i="5"/>
  <c r="J34" i="7"/>
  <c r="I27" i="4"/>
  <c r="I30" i="4" s="1"/>
  <c r="I29" i="6"/>
  <c r="I32" i="6" s="1"/>
  <c r="N34" i="7"/>
  <c r="H30" i="3"/>
  <c r="H30" i="4"/>
  <c r="B24" i="6"/>
  <c r="I31" i="7"/>
  <c r="I34" i="7" s="1"/>
  <c r="L31" i="7"/>
  <c r="L34" i="7" s="1"/>
  <c r="B27" i="6"/>
  <c r="F30" i="4"/>
  <c r="N32" i="5"/>
  <c r="H32" i="6"/>
  <c r="F31" i="7"/>
  <c r="F34" i="7" s="1"/>
  <c r="P7" i="7"/>
  <c r="P34" i="7" s="1"/>
  <c r="B12" i="7"/>
  <c r="B23" i="7"/>
  <c r="B27" i="7"/>
  <c r="Q27" i="7"/>
  <c r="Q32" i="7" s="1"/>
  <c r="B26" i="7"/>
  <c r="E31" i="7"/>
  <c r="E34" i="7" s="1"/>
  <c r="M31" i="7"/>
  <c r="M34" i="7" s="1"/>
  <c r="D34" i="7"/>
  <c r="F32" i="6"/>
  <c r="G32" i="6"/>
  <c r="E29" i="6"/>
  <c r="B26" i="6"/>
  <c r="P32" i="6"/>
  <c r="Q27" i="6"/>
  <c r="Q30" i="6" s="1"/>
  <c r="E32" i="6"/>
  <c r="B23" i="6"/>
  <c r="L29" i="6"/>
  <c r="L32" i="6" s="1"/>
  <c r="B16" i="6"/>
  <c r="B27" i="5"/>
  <c r="G32" i="5"/>
  <c r="B12" i="5"/>
  <c r="J29" i="5"/>
  <c r="J32" i="5" s="1"/>
  <c r="B23" i="5"/>
  <c r="I29" i="5"/>
  <c r="I32" i="5" s="1"/>
  <c r="E29" i="5"/>
  <c r="E32" i="5" s="1"/>
  <c r="F32" i="5"/>
  <c r="L29" i="5"/>
  <c r="L32" i="5" s="1"/>
  <c r="O32" i="5"/>
  <c r="D32" i="5"/>
  <c r="B27" i="4"/>
  <c r="B30" i="4" s="1"/>
  <c r="E30" i="4"/>
  <c r="B28" i="4"/>
  <c r="G30" i="3"/>
  <c r="N7" i="3"/>
  <c r="N30" i="3" s="1"/>
  <c r="B27" i="3"/>
  <c r="B30" i="3" s="1"/>
  <c r="D30" i="3"/>
  <c r="F27" i="3"/>
  <c r="B28" i="3" s="1"/>
  <c r="E27" i="2"/>
  <c r="E30" i="2" s="1"/>
  <c r="B27" i="2"/>
  <c r="B30" i="2" s="1"/>
  <c r="G30" i="2"/>
  <c r="N7" i="2"/>
  <c r="N30" i="2" s="1"/>
  <c r="F30" i="2"/>
  <c r="H30" i="2"/>
  <c r="N7" i="1"/>
  <c r="N30" i="1" s="1"/>
  <c r="J30" i="1"/>
  <c r="I30" i="1"/>
  <c r="D30" i="1"/>
  <c r="N27" i="1"/>
  <c r="M27" i="1"/>
  <c r="M30" i="1" s="1"/>
  <c r="L27" i="1"/>
  <c r="L30" i="1" s="1"/>
  <c r="K27" i="1"/>
  <c r="K30" i="1" s="1"/>
  <c r="J27" i="1"/>
  <c r="I27" i="1"/>
  <c r="H27" i="1"/>
  <c r="H30" i="1" s="1"/>
  <c r="G27" i="1"/>
  <c r="G30" i="1" s="1"/>
  <c r="F27" i="1"/>
  <c r="F30" i="1" s="1"/>
  <c r="E27" i="1"/>
  <c r="E30" i="1" s="1"/>
  <c r="D27" i="1"/>
  <c r="F12" i="1"/>
  <c r="B12" i="1" s="1"/>
  <c r="B14" i="1"/>
  <c r="B25" i="1"/>
  <c r="B24" i="1"/>
  <c r="B23" i="1"/>
  <c r="B22" i="1"/>
  <c r="B21" i="1"/>
  <c r="B20" i="1"/>
  <c r="B19" i="1"/>
  <c r="B18" i="1"/>
  <c r="B17" i="1"/>
  <c r="B16" i="1"/>
  <c r="B15" i="1"/>
  <c r="B13" i="1"/>
  <c r="B11" i="1"/>
  <c r="B10" i="1"/>
  <c r="B9" i="1"/>
  <c r="B31" i="4" l="1"/>
  <c r="B29" i="5"/>
  <c r="B32" i="5" s="1"/>
  <c r="B31" i="7"/>
  <c r="B34" i="7" s="1"/>
  <c r="B35" i="7"/>
  <c r="B32" i="7"/>
  <c r="B29" i="6"/>
  <c r="B32" i="6" s="1"/>
  <c r="B33" i="6"/>
  <c r="B30" i="6"/>
  <c r="B33" i="5"/>
  <c r="B30" i="5"/>
  <c r="F30" i="3"/>
  <c r="B31" i="3" s="1"/>
  <c r="B28" i="2"/>
  <c r="B31" i="2"/>
  <c r="B27" i="1"/>
  <c r="B30" i="1" s="1"/>
  <c r="B28" i="1"/>
  <c r="B31" i="1"/>
</calcChain>
</file>

<file path=xl/sharedStrings.xml><?xml version="1.0" encoding="utf-8"?>
<sst xmlns="http://schemas.openxmlformats.org/spreadsheetml/2006/main" count="400" uniqueCount="43">
  <si>
    <t>Proposed Budget for Town of Groton</t>
  </si>
  <si>
    <t>Coronavirus State and Local Fiscal Recovery Funds</t>
  </si>
  <si>
    <t>Allotment</t>
  </si>
  <si>
    <t>GDRSD</t>
  </si>
  <si>
    <t>Comm Towers</t>
  </si>
  <si>
    <t>DPW FTE Replacement</t>
  </si>
  <si>
    <t>Avail Funds</t>
  </si>
  <si>
    <t>Projects:</t>
  </si>
  <si>
    <t>Spending Date</t>
  </si>
  <si>
    <t>Admin/ Consulting</t>
  </si>
  <si>
    <t>Total Spending</t>
  </si>
  <si>
    <t>xft</t>
  </si>
  <si>
    <t>Avail Budget</t>
  </si>
  <si>
    <t>Sewer Pump Station -MassWorks</t>
  </si>
  <si>
    <t>Employee Retention</t>
  </si>
  <si>
    <t>revised</t>
  </si>
  <si>
    <t>BroadMeadow Rd. Engineering</t>
  </si>
  <si>
    <t>AR1</t>
  </si>
  <si>
    <t>AR2</t>
  </si>
  <si>
    <t>AR7</t>
  </si>
  <si>
    <t>AR6</t>
  </si>
  <si>
    <t>AR4</t>
  </si>
  <si>
    <t>AR9</t>
  </si>
  <si>
    <t>AR5</t>
  </si>
  <si>
    <t>AR8</t>
  </si>
  <si>
    <t>AR3</t>
  </si>
  <si>
    <t>*300k &amp; 150k</t>
  </si>
  <si>
    <t>Fire Dept Ops &amp; Dispatch EOC  FY23</t>
  </si>
  <si>
    <t>Taylor St Water Mains</t>
  </si>
  <si>
    <t>Interface Mental Health</t>
  </si>
  <si>
    <t>Public Safety Ops &amp; Dispatch Center  FY23</t>
  </si>
  <si>
    <t>*300k &amp; 150k &amp; 18,067</t>
  </si>
  <si>
    <t>DPW FTE Replacement &amp; COVID OT</t>
  </si>
  <si>
    <t xml:space="preserve">*300k &amp; 150k </t>
  </si>
  <si>
    <t>*38k &amp; 18,067</t>
  </si>
  <si>
    <t>PFAS GDRHS Engineering</t>
  </si>
  <si>
    <t>Admin/ Consulting/Audits</t>
  </si>
  <si>
    <t>$50k committed</t>
  </si>
  <si>
    <t>for I &amp; I</t>
  </si>
  <si>
    <t>Nod Rd Sewer Pump Station -MassWorks</t>
  </si>
  <si>
    <t>1st SLRF Report</t>
  </si>
  <si>
    <t>2nd SLRF Report</t>
  </si>
  <si>
    <t>FY23 Snow/Ice 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</si>
</sst>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8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7" fontId="0" fillId="0" borderId="0" xfId="0" applyNumberFormat="1"/>
    <xf numFmtId="0" fontId="2" fillId="0" borderId="0" xfId="0" applyFont="1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3E44-C1EA-4D72-87BF-E9CD8A921A00}">
  <sheetPr>
    <pageSetUpPr fitToPage="1"/>
  </sheetPr>
  <dimension ref="A1:N31"/>
  <sheetViews>
    <sheetView zoomScaleNormal="100" workbookViewId="0">
      <selection activeCell="N2" sqref="N2"/>
    </sheetView>
  </sheetViews>
  <sheetFormatPr defaultRowHeight="15" x14ac:dyDescent="0.25"/>
  <cols>
    <col min="2" max="2" width="12.7109375" customWidth="1"/>
    <col min="4" max="4" width="9" bestFit="1" customWidth="1"/>
    <col min="5" max="5" width="10.28515625" customWidth="1"/>
    <col min="6" max="6" width="11.85546875" customWidth="1"/>
    <col min="7" max="7" width="13.5703125" customWidth="1"/>
    <col min="8" max="8" width="14.5703125" customWidth="1"/>
    <col min="9" max="9" width="11.5703125" bestFit="1" customWidth="1"/>
    <col min="10" max="10" width="14.28515625" customWidth="1"/>
    <col min="11" max="11" width="9.7109375" customWidth="1"/>
    <col min="12" max="12" width="14.42578125" customWidth="1"/>
    <col min="13" max="13" width="10.85546875" customWidth="1"/>
    <col min="14" max="14" width="10.140625" bestFit="1" customWidth="1"/>
  </cols>
  <sheetData>
    <row r="1" spans="1:14" ht="26.25" x14ac:dyDescent="0.4">
      <c r="B1" s="2" t="s">
        <v>0</v>
      </c>
      <c r="C1" s="2"/>
      <c r="D1" s="2"/>
      <c r="E1" s="2"/>
      <c r="F1" s="2"/>
      <c r="M1" t="s">
        <v>15</v>
      </c>
      <c r="N1" s="8">
        <v>44693</v>
      </c>
    </row>
    <row r="2" spans="1:14" ht="26.25" x14ac:dyDescent="0.4">
      <c r="B2" s="2" t="s">
        <v>1</v>
      </c>
      <c r="C2" s="2"/>
      <c r="D2" s="2"/>
      <c r="E2" s="2"/>
      <c r="F2" s="2"/>
    </row>
    <row r="3" spans="1:14" ht="26.25" x14ac:dyDescent="0.4">
      <c r="B3" s="2"/>
      <c r="C3" s="2"/>
      <c r="D3" s="2"/>
      <c r="E3" s="2"/>
      <c r="F3" s="2"/>
    </row>
    <row r="4" spans="1:14" ht="26.45" customHeight="1" x14ac:dyDescent="0.25">
      <c r="A4" s="7" t="s">
        <v>8</v>
      </c>
      <c r="B4" s="3" t="s">
        <v>2</v>
      </c>
      <c r="C4" s="3" t="s">
        <v>7</v>
      </c>
      <c r="D4" s="3" t="s">
        <v>17</v>
      </c>
      <c r="E4" s="3" t="s">
        <v>18</v>
      </c>
      <c r="F4" s="3" t="s">
        <v>19</v>
      </c>
      <c r="G4" s="3" t="s">
        <v>25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</row>
    <row r="5" spans="1:14" ht="58.15" customHeight="1" x14ac:dyDescent="0.25">
      <c r="D5" s="5" t="s">
        <v>3</v>
      </c>
      <c r="E5" s="5" t="s">
        <v>4</v>
      </c>
      <c r="F5" s="5" t="s">
        <v>14</v>
      </c>
      <c r="G5" s="5" t="s">
        <v>27</v>
      </c>
      <c r="H5" s="5" t="s">
        <v>5</v>
      </c>
      <c r="I5" s="5" t="s">
        <v>28</v>
      </c>
      <c r="J5" s="5" t="s">
        <v>13</v>
      </c>
      <c r="K5" s="5" t="s">
        <v>29</v>
      </c>
      <c r="L5" s="5" t="s">
        <v>16</v>
      </c>
      <c r="M5" s="5" t="s">
        <v>9</v>
      </c>
      <c r="N5" s="5" t="s">
        <v>6</v>
      </c>
    </row>
    <row r="6" spans="1:14" ht="13.9" customHeight="1" x14ac:dyDescent="0.25">
      <c r="D6" s="4"/>
      <c r="E6" s="4"/>
      <c r="F6" s="4"/>
      <c r="G6" s="4" t="s">
        <v>26</v>
      </c>
      <c r="H6" s="4"/>
      <c r="I6" s="4"/>
      <c r="J6" s="4"/>
      <c r="K6" s="4"/>
      <c r="L6" s="4"/>
      <c r="M6" s="4"/>
      <c r="N6" s="4"/>
    </row>
    <row r="7" spans="1:14" x14ac:dyDescent="0.25">
      <c r="B7" s="1">
        <v>3385120</v>
      </c>
      <c r="C7" s="1"/>
      <c r="D7" s="1">
        <v>900000</v>
      </c>
      <c r="E7" s="1">
        <v>650000</v>
      </c>
      <c r="F7" s="1">
        <f>161000+9000</f>
        <v>170000</v>
      </c>
      <c r="G7" s="1">
        <f>300000+150000</f>
        <v>450000</v>
      </c>
      <c r="H7" s="1">
        <f>4000+34000</f>
        <v>38000</v>
      </c>
      <c r="I7" s="1">
        <v>244869</v>
      </c>
      <c r="J7" s="1">
        <v>520000</v>
      </c>
      <c r="K7" s="1">
        <v>18000</v>
      </c>
      <c r="L7" s="1">
        <v>100000</v>
      </c>
      <c r="M7" s="1">
        <v>9000</v>
      </c>
      <c r="N7" s="1">
        <f>+B7-L7-K7-J7-I7-H7-G7-F7-E7-D7-M7</f>
        <v>285251</v>
      </c>
    </row>
    <row r="8" spans="1:14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6">
        <v>44440</v>
      </c>
      <c r="B9" s="1">
        <f t="shared" ref="B9:B11" si="0">SUM(D9:N9)</f>
        <v>-7000</v>
      </c>
      <c r="C9" s="1"/>
      <c r="D9" s="1"/>
      <c r="E9" s="1"/>
      <c r="F9" s="1"/>
      <c r="G9" s="1"/>
      <c r="H9" s="1"/>
      <c r="I9" s="1"/>
      <c r="J9" s="1">
        <v>-7000</v>
      </c>
      <c r="K9" s="1"/>
      <c r="L9" s="1"/>
      <c r="M9" s="1"/>
      <c r="N9" s="1"/>
    </row>
    <row r="10" spans="1:14" x14ac:dyDescent="0.25">
      <c r="A10" s="6">
        <v>44470</v>
      </c>
      <c r="B10" s="1">
        <f t="shared" si="0"/>
        <v>-44000</v>
      </c>
      <c r="C10" s="1"/>
      <c r="D10" s="1"/>
      <c r="E10" s="1"/>
      <c r="F10" s="1"/>
      <c r="G10" s="1"/>
      <c r="H10" s="1">
        <v>-38000</v>
      </c>
      <c r="I10" s="1"/>
      <c r="J10" s="1">
        <v>-6000</v>
      </c>
      <c r="K10" s="1"/>
      <c r="L10" s="1"/>
      <c r="M10" s="1"/>
      <c r="N10" s="1"/>
    </row>
    <row r="11" spans="1:14" x14ac:dyDescent="0.25">
      <c r="A11" s="6">
        <v>44501</v>
      </c>
      <c r="B11" s="1">
        <f t="shared" si="0"/>
        <v>-5000</v>
      </c>
      <c r="C11" s="1"/>
      <c r="D11" s="1"/>
      <c r="E11" s="1"/>
      <c r="F11" s="1"/>
      <c r="G11" s="1"/>
      <c r="H11" s="1"/>
      <c r="I11" s="1"/>
      <c r="J11" s="1">
        <v>-5000</v>
      </c>
      <c r="K11" s="1"/>
      <c r="L11" s="1"/>
      <c r="M11" s="1"/>
      <c r="N11" s="1"/>
    </row>
    <row r="12" spans="1:14" x14ac:dyDescent="0.25">
      <c r="A12" s="6">
        <v>44531</v>
      </c>
      <c r="B12" s="1">
        <f>SUM(D12:N12)</f>
        <v>-584332.71</v>
      </c>
      <c r="C12" s="1"/>
      <c r="D12" s="1">
        <v>-442495</v>
      </c>
      <c r="E12" s="1"/>
      <c r="F12" s="1">
        <f>-50218.4-88179.31</f>
        <v>-138397.71</v>
      </c>
      <c r="G12" s="1"/>
      <c r="H12" s="1"/>
      <c r="I12" s="1"/>
      <c r="J12" s="1">
        <v>-2000</v>
      </c>
      <c r="K12" s="1"/>
      <c r="L12" s="1"/>
      <c r="M12" s="1">
        <v>-1440</v>
      </c>
      <c r="N12" s="1"/>
    </row>
    <row r="13" spans="1:14" x14ac:dyDescent="0.25">
      <c r="A13" s="6">
        <v>44562</v>
      </c>
      <c r="B13" s="1">
        <f t="shared" ref="B13:B25" si="1">SUM(D13:N13)</f>
        <v>-80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-80</v>
      </c>
      <c r="N13" s="1"/>
    </row>
    <row r="14" spans="1:14" x14ac:dyDescent="0.25">
      <c r="A14" s="6">
        <v>44593</v>
      </c>
      <c r="B14" s="1">
        <f t="shared" si="1"/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6">
        <v>44621</v>
      </c>
      <c r="B15" s="1">
        <f t="shared" si="1"/>
        <v>-80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-80</v>
      </c>
      <c r="N15" s="1"/>
    </row>
    <row r="16" spans="1:14" x14ac:dyDescent="0.25">
      <c r="A16" s="6">
        <v>44652</v>
      </c>
      <c r="B16" s="1">
        <f t="shared" si="1"/>
        <v>-1480</v>
      </c>
      <c r="C16" s="1"/>
      <c r="D16" s="1"/>
      <c r="E16" s="1">
        <v>-1400</v>
      </c>
      <c r="F16" s="1"/>
      <c r="G16" s="1"/>
      <c r="H16" s="1"/>
      <c r="I16" s="1"/>
      <c r="J16" s="1"/>
      <c r="K16" s="1"/>
      <c r="L16" s="1"/>
      <c r="M16" s="1">
        <v>-80</v>
      </c>
      <c r="N16" s="1"/>
    </row>
    <row r="17" spans="1:14" x14ac:dyDescent="0.25">
      <c r="A17" s="6">
        <v>44682</v>
      </c>
      <c r="B17" s="1">
        <f t="shared" si="1"/>
        <v>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6">
        <v>44713</v>
      </c>
      <c r="B18" s="1">
        <f t="shared" si="1"/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6">
        <v>44743</v>
      </c>
      <c r="B19" s="1">
        <f t="shared" si="1"/>
        <v>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6">
        <v>44774</v>
      </c>
      <c r="B20" s="1">
        <f t="shared" si="1"/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6">
        <v>44805</v>
      </c>
      <c r="B21" s="1">
        <f t="shared" si="1"/>
        <v>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6">
        <v>44835</v>
      </c>
      <c r="B22" s="1">
        <f t="shared" si="1"/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6">
        <v>44866</v>
      </c>
      <c r="B23" s="1">
        <f t="shared" si="1"/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6">
        <v>44896</v>
      </c>
      <c r="B24" s="1">
        <f t="shared" si="1"/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6">
        <v>44927</v>
      </c>
      <c r="B25" s="1">
        <f t="shared" si="1"/>
        <v>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45" x14ac:dyDescent="0.25">
      <c r="A27" s="4" t="s">
        <v>10</v>
      </c>
      <c r="B27" s="1">
        <f>SUM(B9:B26)</f>
        <v>-641972.71</v>
      </c>
      <c r="C27" s="1"/>
      <c r="D27" s="1">
        <f t="shared" ref="D27:N27" si="2">SUM(D9:D26)</f>
        <v>-442495</v>
      </c>
      <c r="E27" s="1">
        <f t="shared" si="2"/>
        <v>-1400</v>
      </c>
      <c r="F27" s="1">
        <f t="shared" si="2"/>
        <v>-138397.71</v>
      </c>
      <c r="G27" s="1">
        <f t="shared" si="2"/>
        <v>0</v>
      </c>
      <c r="H27" s="1">
        <f t="shared" si="2"/>
        <v>-38000</v>
      </c>
      <c r="I27" s="1">
        <f t="shared" si="2"/>
        <v>0</v>
      </c>
      <c r="J27" s="1">
        <f t="shared" si="2"/>
        <v>-20000</v>
      </c>
      <c r="K27" s="1">
        <f t="shared" si="2"/>
        <v>0</v>
      </c>
      <c r="L27" s="1">
        <f t="shared" si="2"/>
        <v>0</v>
      </c>
      <c r="M27" s="1">
        <f t="shared" si="2"/>
        <v>-1680</v>
      </c>
      <c r="N27" s="1">
        <f t="shared" si="2"/>
        <v>0</v>
      </c>
    </row>
    <row r="28" spans="1:14" x14ac:dyDescent="0.25">
      <c r="B28" s="1">
        <f>SUM(D27:N27)</f>
        <v>-641972.71</v>
      </c>
      <c r="C28" t="s">
        <v>11</v>
      </c>
    </row>
    <row r="30" spans="1:14" ht="30" x14ac:dyDescent="0.25">
      <c r="A30" s="4" t="s">
        <v>12</v>
      </c>
      <c r="B30" s="1">
        <f>+B7+B27</f>
        <v>2743147.29</v>
      </c>
      <c r="D30" s="1">
        <f t="shared" ref="D30:N30" si="3">+D7+D27</f>
        <v>457505</v>
      </c>
      <c r="E30" s="1">
        <f t="shared" si="3"/>
        <v>648600</v>
      </c>
      <c r="F30" s="1">
        <f t="shared" si="3"/>
        <v>31602.290000000008</v>
      </c>
      <c r="G30" s="1">
        <f t="shared" si="3"/>
        <v>450000</v>
      </c>
      <c r="H30" s="1">
        <f t="shared" si="3"/>
        <v>0</v>
      </c>
      <c r="I30" s="1">
        <f t="shared" si="3"/>
        <v>244869</v>
      </c>
      <c r="J30" s="1">
        <f t="shared" si="3"/>
        <v>500000</v>
      </c>
      <c r="K30" s="1">
        <f t="shared" si="3"/>
        <v>18000</v>
      </c>
      <c r="L30" s="1">
        <f t="shared" si="3"/>
        <v>100000</v>
      </c>
      <c r="M30" s="1">
        <f t="shared" si="3"/>
        <v>7320</v>
      </c>
      <c r="N30" s="1">
        <f t="shared" si="3"/>
        <v>285251</v>
      </c>
    </row>
    <row r="31" spans="1:14" x14ac:dyDescent="0.25">
      <c r="B31" s="1">
        <f>SUM(D30:N30)</f>
        <v>2743147.29</v>
      </c>
      <c r="C31" t="s">
        <v>11</v>
      </c>
    </row>
  </sheetData>
  <printOptions gridLines="1"/>
  <pageMargins left="0.7" right="0.7" top="0.75" bottom="0.75" header="0.3" footer="0.3"/>
  <pageSetup scale="76" orientation="landscape" r:id="rId1"/>
  <headerFooter>
    <oddFooter>&amp;L&amp;Z&amp;F&amp;R&amp;D&amp;T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4CB1D-A4FE-4AC6-9933-39AE1DE1ADBA}">
  <sheetPr>
    <pageSetUpPr fitToPage="1"/>
  </sheetPr>
  <dimension ref="A1:R41"/>
  <sheetViews>
    <sheetView zoomScaleNormal="100" workbookViewId="0">
      <selection activeCell="P1" sqref="P1"/>
    </sheetView>
  </sheetViews>
  <sheetFormatPr defaultRowHeight="15" x14ac:dyDescent="0.25"/>
  <cols>
    <col min="1" max="1" width="9.7109375" bestFit="1" customWidth="1"/>
    <col min="2" max="2" width="12.7109375" customWidth="1"/>
    <col min="4" max="4" width="9" bestFit="1" customWidth="1"/>
    <col min="5" max="5" width="10.28515625" customWidth="1"/>
    <col min="6" max="6" width="11.85546875" customWidth="1"/>
    <col min="7" max="7" width="13.5703125" customWidth="1"/>
    <col min="8" max="8" width="14.5703125" customWidth="1"/>
    <col min="9" max="9" width="11.5703125" bestFit="1" customWidth="1"/>
    <col min="10" max="10" width="14.28515625" customWidth="1"/>
    <col min="11" max="11" width="9.7109375" customWidth="1"/>
    <col min="12" max="13" width="14.42578125" customWidth="1"/>
    <col min="14" max="15" width="10.85546875" customWidth="1"/>
    <col min="16" max="16" width="10.5703125" bestFit="1" customWidth="1"/>
    <col min="17" max="17" width="11.42578125" customWidth="1"/>
  </cols>
  <sheetData>
    <row r="1" spans="1:18" ht="26.25" x14ac:dyDescent="0.4">
      <c r="B1" s="2" t="s">
        <v>0</v>
      </c>
      <c r="C1" s="2"/>
      <c r="D1" s="2"/>
      <c r="E1" s="2"/>
      <c r="F1" s="2"/>
      <c r="N1" t="s">
        <v>15</v>
      </c>
      <c r="P1" s="8">
        <v>45169</v>
      </c>
    </row>
    <row r="2" spans="1:18" ht="26.25" x14ac:dyDescent="0.4">
      <c r="B2" s="2" t="s">
        <v>1</v>
      </c>
      <c r="C2" s="2"/>
      <c r="D2" s="2"/>
      <c r="E2" s="2"/>
      <c r="F2" s="2"/>
    </row>
    <row r="3" spans="1:18" ht="26.25" x14ac:dyDescent="0.4">
      <c r="B3" s="2"/>
      <c r="C3" s="2"/>
      <c r="D3" s="2"/>
      <c r="E3" s="2"/>
      <c r="F3" s="2"/>
    </row>
    <row r="4" spans="1:18" ht="26.45" customHeight="1" x14ac:dyDescent="0.25">
      <c r="A4" s="7" t="s">
        <v>8</v>
      </c>
      <c r="B4" s="3" t="s">
        <v>2</v>
      </c>
      <c r="C4" s="3" t="s">
        <v>7</v>
      </c>
      <c r="D4" s="3">
        <v>124</v>
      </c>
      <c r="E4" s="3" t="s">
        <v>18</v>
      </c>
      <c r="F4" s="3" t="s">
        <v>19</v>
      </c>
      <c r="G4" s="3" t="s">
        <v>25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17</v>
      </c>
      <c r="N4" s="3" t="s">
        <v>24</v>
      </c>
      <c r="O4" s="3"/>
    </row>
    <row r="5" spans="1:18" ht="58.15" customHeight="1" x14ac:dyDescent="0.25">
      <c r="D5" s="5" t="s">
        <v>3</v>
      </c>
      <c r="E5" s="5" t="s">
        <v>4</v>
      </c>
      <c r="F5" s="5" t="s">
        <v>14</v>
      </c>
      <c r="G5" s="5" t="s">
        <v>30</v>
      </c>
      <c r="H5" s="5" t="s">
        <v>32</v>
      </c>
      <c r="I5" s="5" t="s">
        <v>28</v>
      </c>
      <c r="J5" s="5" t="s">
        <v>39</v>
      </c>
      <c r="K5" s="5" t="s">
        <v>29</v>
      </c>
      <c r="L5" s="5" t="s">
        <v>16</v>
      </c>
      <c r="M5" s="5" t="s">
        <v>35</v>
      </c>
      <c r="N5" s="5" t="s">
        <v>36</v>
      </c>
      <c r="O5" s="5" t="s">
        <v>42</v>
      </c>
      <c r="P5" s="5" t="s">
        <v>6</v>
      </c>
    </row>
    <row r="6" spans="1:18" ht="33.6" customHeight="1" x14ac:dyDescent="0.25">
      <c r="D6" s="4"/>
      <c r="E6" s="4"/>
      <c r="F6" s="4"/>
      <c r="G6" s="4" t="s">
        <v>33</v>
      </c>
      <c r="H6" s="4" t="s">
        <v>34</v>
      </c>
      <c r="I6" s="4"/>
      <c r="J6" s="4"/>
      <c r="K6" s="4"/>
      <c r="L6" s="4"/>
      <c r="M6" s="4"/>
      <c r="N6" s="4"/>
      <c r="O6" s="4"/>
      <c r="P6" s="4"/>
    </row>
    <row r="7" spans="1:18" x14ac:dyDescent="0.25">
      <c r="B7" s="1">
        <v>3385120</v>
      </c>
      <c r="C7" s="1"/>
      <c r="D7" s="1">
        <v>900000</v>
      </c>
      <c r="E7" s="1">
        <v>650000</v>
      </c>
      <c r="F7" s="1">
        <f>161000+9000+9000</f>
        <v>179000</v>
      </c>
      <c r="G7" s="1">
        <f>300000+150000</f>
        <v>450000</v>
      </c>
      <c r="H7" s="1">
        <f>4000+34000+18067</f>
        <v>56067</v>
      </c>
      <c r="I7" s="1">
        <v>244869</v>
      </c>
      <c r="J7" s="1">
        <f>520000-150000-239891</f>
        <v>130109</v>
      </c>
      <c r="K7" s="1">
        <v>8000</v>
      </c>
      <c r="L7" s="1">
        <v>200000</v>
      </c>
      <c r="M7" s="1">
        <f>150000+239891</f>
        <v>389891</v>
      </c>
      <c r="N7" s="1">
        <v>27184</v>
      </c>
      <c r="O7" s="1">
        <v>150000</v>
      </c>
      <c r="P7" s="1">
        <f>+B7-L7-K7-J7-I7-H7-G7-F7-E7-D7-N7-M7-O7</f>
        <v>0</v>
      </c>
    </row>
    <row r="8" spans="1:18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8" x14ac:dyDescent="0.25">
      <c r="A9" s="6">
        <v>44440</v>
      </c>
      <c r="B9" s="1">
        <f t="shared" ref="B9:B32" si="0">SUM(D9:P9)</f>
        <v>-7000</v>
      </c>
      <c r="C9" s="1"/>
      <c r="D9" s="1"/>
      <c r="E9" s="1"/>
      <c r="F9" s="1"/>
      <c r="G9" s="1"/>
      <c r="H9" s="1"/>
      <c r="I9" s="1"/>
      <c r="J9" s="1">
        <v>-7000</v>
      </c>
      <c r="K9" s="1"/>
      <c r="L9" s="1"/>
      <c r="M9" s="1"/>
      <c r="N9" s="1"/>
      <c r="O9" s="1"/>
      <c r="P9" s="1"/>
    </row>
    <row r="10" spans="1:18" x14ac:dyDescent="0.25">
      <c r="A10" s="6">
        <v>44470</v>
      </c>
      <c r="B10" s="1">
        <f t="shared" si="0"/>
        <v>-44000</v>
      </c>
      <c r="C10" s="1"/>
      <c r="D10" s="1"/>
      <c r="E10" s="1"/>
      <c r="F10" s="1"/>
      <c r="G10" s="1"/>
      <c r="H10" s="1">
        <v>-38000</v>
      </c>
      <c r="I10" s="1"/>
      <c r="J10" s="1">
        <v>-6000</v>
      </c>
      <c r="K10" s="1"/>
      <c r="L10" s="1"/>
      <c r="M10" s="1"/>
      <c r="N10" s="1"/>
      <c r="O10" s="1"/>
      <c r="P10" s="1"/>
    </row>
    <row r="11" spans="1:18" x14ac:dyDescent="0.25">
      <c r="A11" s="6">
        <v>44501</v>
      </c>
      <c r="B11" s="1">
        <f t="shared" si="0"/>
        <v>-5000</v>
      </c>
      <c r="C11" s="1"/>
      <c r="D11" s="1"/>
      <c r="E11" s="1"/>
      <c r="F11" s="1"/>
      <c r="G11" s="1"/>
      <c r="H11" s="1"/>
      <c r="I11" s="1"/>
      <c r="J11" s="1">
        <v>-5000</v>
      </c>
      <c r="K11" s="1"/>
      <c r="L11" s="1"/>
      <c r="M11" s="1"/>
      <c r="N11" s="1"/>
      <c r="O11" s="1"/>
      <c r="P11" s="1"/>
    </row>
    <row r="12" spans="1:18" x14ac:dyDescent="0.25">
      <c r="A12" s="6">
        <v>44531</v>
      </c>
      <c r="B12" s="1">
        <f t="shared" si="0"/>
        <v>-584332.71</v>
      </c>
      <c r="C12" s="1"/>
      <c r="D12" s="1">
        <v>-442495</v>
      </c>
      <c r="E12" s="1"/>
      <c r="F12" s="1">
        <f>-50218.4-88179.31</f>
        <v>-138397.71</v>
      </c>
      <c r="G12" s="1"/>
      <c r="H12" s="1"/>
      <c r="I12" s="1"/>
      <c r="J12" s="1">
        <v>-2000</v>
      </c>
      <c r="K12" s="1"/>
      <c r="L12" s="1"/>
      <c r="M12" s="1"/>
      <c r="N12" s="1">
        <v>-1440</v>
      </c>
      <c r="O12" s="1"/>
      <c r="P12" s="1"/>
    </row>
    <row r="13" spans="1:18" x14ac:dyDescent="0.25">
      <c r="A13" s="6">
        <v>44562</v>
      </c>
      <c r="B13" s="1">
        <f t="shared" si="0"/>
        <v>-80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v>-80</v>
      </c>
      <c r="O13" s="1"/>
      <c r="P13" s="1"/>
    </row>
    <row r="14" spans="1:18" x14ac:dyDescent="0.25">
      <c r="A14" s="6">
        <v>44593</v>
      </c>
      <c r="B14" s="1">
        <f t="shared" si="0"/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x14ac:dyDescent="0.25">
      <c r="A15" s="6">
        <v>44621</v>
      </c>
      <c r="B15" s="1">
        <f t="shared" si="0"/>
        <v>-80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v>-80</v>
      </c>
      <c r="O15" s="1"/>
      <c r="P15" s="1"/>
      <c r="Q15" s="1">
        <f>SUM(D9:N15)</f>
        <v>-640492.71</v>
      </c>
      <c r="R15" t="s">
        <v>40</v>
      </c>
    </row>
    <row r="16" spans="1:18" x14ac:dyDescent="0.25">
      <c r="A16" s="6">
        <v>44652</v>
      </c>
      <c r="B16" s="1">
        <f t="shared" si="0"/>
        <v>-39375.410000000003</v>
      </c>
      <c r="C16" s="1"/>
      <c r="D16" s="1"/>
      <c r="E16" s="1">
        <f>-1400-37895.41</f>
        <v>-39295.410000000003</v>
      </c>
      <c r="F16" s="1"/>
      <c r="G16" s="1"/>
      <c r="H16" s="1"/>
      <c r="I16" s="1"/>
      <c r="J16" s="1"/>
      <c r="K16" s="1"/>
      <c r="L16" s="1"/>
      <c r="M16" s="1"/>
      <c r="N16" s="1">
        <v>-80</v>
      </c>
      <c r="O16" s="1"/>
      <c r="P16" s="1"/>
    </row>
    <row r="17" spans="1:18" x14ac:dyDescent="0.25">
      <c r="A17" s="6">
        <v>44682</v>
      </c>
      <c r="B17" s="1">
        <f t="shared" si="0"/>
        <v>-18067</v>
      </c>
      <c r="C17" s="1"/>
      <c r="D17" s="1"/>
      <c r="E17" s="1"/>
      <c r="F17" s="1"/>
      <c r="G17" s="1"/>
      <c r="H17" s="1">
        <v>-18067</v>
      </c>
      <c r="I17" s="1"/>
      <c r="J17" s="1"/>
      <c r="K17" s="1"/>
      <c r="L17" s="1"/>
      <c r="M17" s="1"/>
      <c r="N17" s="1"/>
      <c r="O17" s="1"/>
      <c r="P17" s="1"/>
    </row>
    <row r="18" spans="1:18" x14ac:dyDescent="0.25">
      <c r="A18" s="6">
        <v>44713</v>
      </c>
      <c r="B18" s="1">
        <f t="shared" si="0"/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8" x14ac:dyDescent="0.25">
      <c r="A19" s="6">
        <v>44743</v>
      </c>
      <c r="B19" s="1">
        <f t="shared" si="0"/>
        <v>-581578.9</v>
      </c>
      <c r="C19" s="1"/>
      <c r="D19" s="1"/>
      <c r="E19" s="1">
        <f>-90558.76-185821.24</f>
        <v>-276380</v>
      </c>
      <c r="F19" s="1"/>
      <c r="G19" s="1">
        <v>-300000</v>
      </c>
      <c r="H19" s="1"/>
      <c r="I19" s="1">
        <v>-1390.9</v>
      </c>
      <c r="J19" s="1">
        <v>-3808</v>
      </c>
      <c r="K19" s="1"/>
      <c r="L19" s="1"/>
      <c r="M19" s="1"/>
      <c r="N19" s="1"/>
      <c r="O19" s="1"/>
      <c r="P19" s="1"/>
    </row>
    <row r="20" spans="1:18" x14ac:dyDescent="0.25">
      <c r="A20" s="6">
        <v>44774</v>
      </c>
      <c r="B20" s="1">
        <f t="shared" si="0"/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8" x14ac:dyDescent="0.25">
      <c r="A21" s="6">
        <v>44805</v>
      </c>
      <c r="B21" s="1">
        <f t="shared" si="0"/>
        <v>-476204.7</v>
      </c>
      <c r="C21" s="1"/>
      <c r="D21" s="1">
        <v>-457505</v>
      </c>
      <c r="E21" s="1"/>
      <c r="F21" s="1">
        <v>-9000</v>
      </c>
      <c r="G21" s="1"/>
      <c r="H21" s="1"/>
      <c r="I21" s="1">
        <v>-4478.7</v>
      </c>
      <c r="J21" s="1"/>
      <c r="K21" s="1"/>
      <c r="L21" s="1">
        <v>-5221</v>
      </c>
      <c r="M21" s="1"/>
      <c r="N21" s="1"/>
      <c r="O21" s="1"/>
      <c r="P21" s="1"/>
    </row>
    <row r="22" spans="1:18" x14ac:dyDescent="0.25">
      <c r="A22" s="6">
        <v>44835</v>
      </c>
      <c r="B22" s="1">
        <f t="shared" si="0"/>
        <v>-107203.76</v>
      </c>
      <c r="C22" s="1"/>
      <c r="D22" s="1"/>
      <c r="E22" s="1">
        <f>-90471-8732.76</f>
        <v>-99203.76</v>
      </c>
      <c r="F22" s="1"/>
      <c r="G22" s="1"/>
      <c r="H22" s="1"/>
      <c r="I22" s="1"/>
      <c r="J22" s="1"/>
      <c r="K22" s="1">
        <v>-8000</v>
      </c>
      <c r="L22" s="1"/>
      <c r="M22" s="1"/>
      <c r="N22" s="1"/>
      <c r="O22" s="1"/>
      <c r="P22" s="1"/>
    </row>
    <row r="23" spans="1:18" x14ac:dyDescent="0.25">
      <c r="A23" s="6">
        <v>44866</v>
      </c>
      <c r="B23" s="1">
        <f t="shared" si="0"/>
        <v>-69815.100000000006</v>
      </c>
      <c r="C23" s="1"/>
      <c r="D23" s="1"/>
      <c r="E23" s="1">
        <v>-7362.5</v>
      </c>
      <c r="F23" s="1"/>
      <c r="G23" s="1"/>
      <c r="H23" s="1"/>
      <c r="I23" s="1">
        <f>-1669.08-3588.52</f>
        <v>-5257.6</v>
      </c>
      <c r="J23" s="1"/>
      <c r="K23" s="1"/>
      <c r="L23" s="1">
        <f>-41466-15729</f>
        <v>-57195</v>
      </c>
      <c r="M23" s="1"/>
      <c r="N23" s="1"/>
      <c r="O23" s="1"/>
      <c r="P23" s="1"/>
    </row>
    <row r="24" spans="1:18" x14ac:dyDescent="0.25">
      <c r="A24" s="6">
        <v>44896</v>
      </c>
      <c r="B24" s="1">
        <f t="shared" si="0"/>
        <v>-56123.17</v>
      </c>
      <c r="C24" s="1"/>
      <c r="D24" s="1"/>
      <c r="E24" s="1"/>
      <c r="F24" s="1"/>
      <c r="G24" s="1"/>
      <c r="H24" s="1"/>
      <c r="I24" s="1">
        <f>-9087.3-3384.87</f>
        <v>-12472.169999999998</v>
      </c>
      <c r="J24" s="1"/>
      <c r="K24" s="1"/>
      <c r="L24" s="1">
        <f>-25390-18261</f>
        <v>-43651</v>
      </c>
      <c r="M24" s="1"/>
      <c r="N24" s="1"/>
      <c r="O24" s="1"/>
      <c r="P24" s="1"/>
    </row>
    <row r="25" spans="1:18" x14ac:dyDescent="0.25">
      <c r="A25" s="6">
        <v>44927</v>
      </c>
      <c r="B25" s="1">
        <f t="shared" si="0"/>
        <v>-12382.5</v>
      </c>
      <c r="C25" s="1"/>
      <c r="D25" s="1"/>
      <c r="E25" s="1"/>
      <c r="F25" s="1">
        <v>-6000</v>
      </c>
      <c r="G25" s="1"/>
      <c r="H25" s="1"/>
      <c r="I25" s="1"/>
      <c r="J25" s="1">
        <v>-382.5</v>
      </c>
      <c r="K25" s="1"/>
      <c r="L25" s="1"/>
      <c r="M25" s="1"/>
      <c r="N25" s="1">
        <v>-6000</v>
      </c>
      <c r="O25" s="1"/>
      <c r="P25" s="1"/>
    </row>
    <row r="26" spans="1:18" x14ac:dyDescent="0.25">
      <c r="A26" s="6">
        <v>44985</v>
      </c>
      <c r="B26" s="1">
        <f t="shared" si="0"/>
        <v>-788.5</v>
      </c>
      <c r="C26" s="1"/>
      <c r="D26" s="1"/>
      <c r="E26" s="1"/>
      <c r="F26" s="1"/>
      <c r="G26" s="1"/>
      <c r="H26" s="1"/>
      <c r="I26" s="1"/>
      <c r="J26" s="1">
        <f>-451-337.5</f>
        <v>-788.5</v>
      </c>
      <c r="K26" s="1"/>
      <c r="L26" s="1"/>
      <c r="M26" s="1"/>
      <c r="N26" s="1"/>
      <c r="O26" s="1"/>
      <c r="P26" s="1"/>
    </row>
    <row r="27" spans="1:18" x14ac:dyDescent="0.25">
      <c r="A27" s="6">
        <v>45016</v>
      </c>
      <c r="B27" s="1">
        <f t="shared" si="0"/>
        <v>-39749.01</v>
      </c>
      <c r="C27" s="1"/>
      <c r="D27" s="1"/>
      <c r="E27" s="1"/>
      <c r="F27" s="1"/>
      <c r="G27" s="1"/>
      <c r="H27" s="1"/>
      <c r="I27" s="1">
        <f>-9922.1-8392.63-1086.4</f>
        <v>-19401.13</v>
      </c>
      <c r="J27" s="1"/>
      <c r="K27" s="1"/>
      <c r="L27" s="1">
        <v>-4573</v>
      </c>
      <c r="M27" s="1">
        <f>-774.88-15000</f>
        <v>-15774.88</v>
      </c>
      <c r="N27" s="1"/>
      <c r="O27" s="1"/>
      <c r="P27" s="1"/>
      <c r="Q27" s="1">
        <f>SUM(D16:N27)</f>
        <v>-1401288.0499999998</v>
      </c>
      <c r="R27" t="s">
        <v>41</v>
      </c>
    </row>
    <row r="28" spans="1:18" x14ac:dyDescent="0.25">
      <c r="A28" s="6">
        <v>45039</v>
      </c>
      <c r="B28" s="1">
        <f t="shared" si="0"/>
        <v>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x14ac:dyDescent="0.25">
      <c r="A29" s="6">
        <v>45069</v>
      </c>
      <c r="B29" s="1">
        <f t="shared" si="0"/>
        <v>-169931.7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>
        <v>-19931.7</v>
      </c>
      <c r="N29" s="1"/>
      <c r="O29" s="1">
        <v>-150000</v>
      </c>
      <c r="P29" s="1"/>
      <c r="Q29" s="1"/>
    </row>
    <row r="30" spans="1:18" x14ac:dyDescent="0.25">
      <c r="A30" s="6">
        <v>45100</v>
      </c>
      <c r="B30" s="1">
        <f t="shared" si="0"/>
        <v>-100091.18</v>
      </c>
      <c r="C30" s="1"/>
      <c r="D30" s="1"/>
      <c r="E30" s="1">
        <v>-43635</v>
      </c>
      <c r="F30" s="1"/>
      <c r="G30" s="1"/>
      <c r="H30" s="1"/>
      <c r="I30" s="1">
        <f>-1722.5-3100.5</f>
        <v>-4823</v>
      </c>
      <c r="J30" s="1"/>
      <c r="K30" s="1"/>
      <c r="L30" s="1"/>
      <c r="M30" s="1">
        <f>-20646.55-30986.63</f>
        <v>-51633.18</v>
      </c>
      <c r="N30" s="1"/>
      <c r="O30" s="1"/>
      <c r="P30" s="1"/>
    </row>
    <row r="31" spans="1:18" x14ac:dyDescent="0.25">
      <c r="A31" s="6">
        <v>45130</v>
      </c>
      <c r="B31" s="1">
        <f t="shared" si="0"/>
        <v>-35354.119999999995</v>
      </c>
      <c r="C31" s="1"/>
      <c r="D31" s="1"/>
      <c r="E31" s="1"/>
      <c r="F31" s="1"/>
      <c r="G31" s="1"/>
      <c r="H31" s="1"/>
      <c r="I31" s="1">
        <v>-689</v>
      </c>
      <c r="J31" s="1">
        <v>-6355</v>
      </c>
      <c r="K31" s="1"/>
      <c r="L31" s="1"/>
      <c r="M31" s="1">
        <v>-28310.12</v>
      </c>
      <c r="N31" s="1"/>
      <c r="O31" s="1"/>
      <c r="P31" s="1"/>
    </row>
    <row r="32" spans="1:18" x14ac:dyDescent="0.25">
      <c r="A32" s="6">
        <v>45169</v>
      </c>
      <c r="B32" s="1">
        <f t="shared" si="0"/>
        <v>-57174.38</v>
      </c>
      <c r="C32" s="1"/>
      <c r="D32" s="1"/>
      <c r="E32" s="1"/>
      <c r="F32" s="1"/>
      <c r="G32" s="1"/>
      <c r="H32" s="1"/>
      <c r="I32" s="1">
        <v>-1033.5</v>
      </c>
      <c r="J32" s="1">
        <v>-8775</v>
      </c>
      <c r="K32" s="1"/>
      <c r="L32" s="1"/>
      <c r="M32" s="1">
        <v>-47365.88</v>
      </c>
      <c r="N32" s="1"/>
      <c r="O32" s="1"/>
      <c r="P32" s="1"/>
    </row>
    <row r="33" spans="1:17" ht="30" x14ac:dyDescent="0.25">
      <c r="A33" s="4" t="s">
        <v>10</v>
      </c>
      <c r="B33" s="1">
        <f>SUM(B9:B32)</f>
        <v>-2404332.14</v>
      </c>
      <c r="C33" s="1"/>
      <c r="D33" s="1">
        <f>SUM(D9:D32)</f>
        <v>-900000</v>
      </c>
      <c r="E33" s="1">
        <f t="shared" ref="E33:P33" si="1">SUM(E9:E32)</f>
        <v>-465876.67000000004</v>
      </c>
      <c r="F33" s="1">
        <f t="shared" si="1"/>
        <v>-153397.71</v>
      </c>
      <c r="G33" s="1">
        <f t="shared" si="1"/>
        <v>-300000</v>
      </c>
      <c r="H33" s="1">
        <f t="shared" si="1"/>
        <v>-56067</v>
      </c>
      <c r="I33" s="1">
        <f t="shared" si="1"/>
        <v>-49546</v>
      </c>
      <c r="J33" s="1">
        <f t="shared" si="1"/>
        <v>-40109</v>
      </c>
      <c r="K33" s="1">
        <f t="shared" si="1"/>
        <v>-8000</v>
      </c>
      <c r="L33" s="1">
        <f t="shared" si="1"/>
        <v>-110640</v>
      </c>
      <c r="M33" s="1">
        <f t="shared" si="1"/>
        <v>-163015.76</v>
      </c>
      <c r="N33" s="1">
        <f t="shared" si="1"/>
        <v>-7680</v>
      </c>
      <c r="O33" s="1">
        <f t="shared" si="1"/>
        <v>-150000</v>
      </c>
      <c r="P33" s="1">
        <f t="shared" si="1"/>
        <v>0</v>
      </c>
    </row>
    <row r="34" spans="1:17" x14ac:dyDescent="0.25">
      <c r="B34" s="1">
        <f>SUM(D33:P33)</f>
        <v>-2404332.1399999997</v>
      </c>
      <c r="C34" t="s">
        <v>11</v>
      </c>
      <c r="Q34" s="1">
        <f>+Q15+Q27</f>
        <v>-2041780.7599999998</v>
      </c>
    </row>
    <row r="36" spans="1:17" ht="30" x14ac:dyDescent="0.25">
      <c r="A36" s="4" t="s">
        <v>12</v>
      </c>
      <c r="B36" s="1">
        <f>+B7+B33</f>
        <v>980787.85999999987</v>
      </c>
      <c r="D36" s="1">
        <f t="shared" ref="D36:P36" si="2">+D7+D33</f>
        <v>0</v>
      </c>
      <c r="E36" s="1">
        <f t="shared" si="2"/>
        <v>184123.32999999996</v>
      </c>
      <c r="F36" s="1">
        <f t="shared" si="2"/>
        <v>25602.290000000008</v>
      </c>
      <c r="G36" s="1">
        <f t="shared" si="2"/>
        <v>150000</v>
      </c>
      <c r="H36" s="1">
        <f t="shared" si="2"/>
        <v>0</v>
      </c>
      <c r="I36" s="1">
        <f t="shared" si="2"/>
        <v>195323</v>
      </c>
      <c r="J36" s="1">
        <f t="shared" si="2"/>
        <v>90000</v>
      </c>
      <c r="K36" s="1">
        <f t="shared" si="2"/>
        <v>0</v>
      </c>
      <c r="L36" s="1">
        <f t="shared" si="2"/>
        <v>89360</v>
      </c>
      <c r="M36" s="1">
        <f t="shared" si="2"/>
        <v>226875.24</v>
      </c>
      <c r="N36" s="1">
        <f t="shared" si="2"/>
        <v>19504</v>
      </c>
      <c r="O36" s="1">
        <f t="shared" si="2"/>
        <v>0</v>
      </c>
      <c r="P36" s="1">
        <f t="shared" si="2"/>
        <v>0</v>
      </c>
    </row>
    <row r="37" spans="1:17" x14ac:dyDescent="0.25">
      <c r="B37" s="1">
        <f>SUM(D36:P36)</f>
        <v>980787.86</v>
      </c>
      <c r="C37" t="s">
        <v>11</v>
      </c>
      <c r="J37" t="s">
        <v>37</v>
      </c>
    </row>
    <row r="38" spans="1:17" x14ac:dyDescent="0.25">
      <c r="J38" t="s">
        <v>38</v>
      </c>
    </row>
    <row r="39" spans="1:17" x14ac:dyDescent="0.25">
      <c r="J39" s="1"/>
      <c r="L39" s="1"/>
    </row>
    <row r="41" spans="1:17" x14ac:dyDescent="0.25">
      <c r="G41" s="1"/>
    </row>
  </sheetData>
  <printOptions gridLines="1"/>
  <pageMargins left="0.7" right="0.7" top="0.75" bottom="0.75" header="0.3" footer="0.3"/>
  <pageSetup scale="56" orientation="landscape" r:id="rId1"/>
  <headerFooter>
    <oddFooter>&amp;L&amp;Z&amp;F&amp;R&amp;D&amp;T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173F5-463D-486E-B75E-720E578284ED}">
  <sheetPr>
    <pageSetUpPr fitToPage="1"/>
  </sheetPr>
  <dimension ref="A1:R42"/>
  <sheetViews>
    <sheetView tabSelected="1" topLeftCell="A19" zoomScaleNormal="100" workbookViewId="0">
      <selection activeCell="B35" sqref="B35"/>
    </sheetView>
  </sheetViews>
  <sheetFormatPr defaultRowHeight="15" x14ac:dyDescent="0.25"/>
  <cols>
    <col min="1" max="1" width="9.7109375" bestFit="1" customWidth="1"/>
    <col min="2" max="2" width="12.7109375" customWidth="1"/>
    <col min="4" max="4" width="9" bestFit="1" customWidth="1"/>
    <col min="5" max="5" width="10.28515625" customWidth="1"/>
    <col min="6" max="6" width="11.85546875" customWidth="1"/>
    <col min="7" max="7" width="13.5703125" customWidth="1"/>
    <col min="8" max="8" width="14.5703125" customWidth="1"/>
    <col min="9" max="9" width="11.5703125" bestFit="1" customWidth="1"/>
    <col min="10" max="10" width="14.28515625" customWidth="1"/>
    <col min="11" max="11" width="9.7109375" customWidth="1"/>
    <col min="12" max="13" width="14.42578125" customWidth="1"/>
    <col min="14" max="15" width="10.85546875" customWidth="1"/>
    <col min="16" max="16" width="10.5703125" bestFit="1" customWidth="1"/>
    <col min="17" max="17" width="11.42578125" customWidth="1"/>
  </cols>
  <sheetData>
    <row r="1" spans="1:18" ht="26.25" x14ac:dyDescent="0.4">
      <c r="B1" s="2" t="s">
        <v>0</v>
      </c>
      <c r="C1" s="2"/>
      <c r="D1" s="2"/>
      <c r="E1" s="2"/>
      <c r="F1" s="2"/>
      <c r="N1" t="s">
        <v>15</v>
      </c>
      <c r="P1" s="8">
        <v>45199</v>
      </c>
    </row>
    <row r="2" spans="1:18" ht="26.25" x14ac:dyDescent="0.4">
      <c r="B2" s="2" t="s">
        <v>1</v>
      </c>
      <c r="C2" s="2"/>
      <c r="D2" s="2"/>
      <c r="E2" s="2"/>
      <c r="F2" s="2"/>
    </row>
    <row r="3" spans="1:18" ht="26.25" x14ac:dyDescent="0.4">
      <c r="B3" s="2"/>
      <c r="C3" s="2"/>
      <c r="D3" s="2"/>
      <c r="E3" s="2"/>
      <c r="F3" s="2"/>
    </row>
    <row r="4" spans="1:18" ht="26.45" customHeight="1" x14ac:dyDescent="0.25">
      <c r="A4" s="7" t="s">
        <v>8</v>
      </c>
      <c r="B4" s="3" t="s">
        <v>2</v>
      </c>
      <c r="C4" s="3" t="s">
        <v>7</v>
      </c>
      <c r="D4" s="3">
        <v>124</v>
      </c>
      <c r="E4" s="3" t="s">
        <v>18</v>
      </c>
      <c r="F4" s="3" t="s">
        <v>19</v>
      </c>
      <c r="G4" s="3" t="s">
        <v>25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17</v>
      </c>
      <c r="N4" s="3" t="s">
        <v>24</v>
      </c>
      <c r="O4" s="3"/>
    </row>
    <row r="5" spans="1:18" ht="58.15" customHeight="1" x14ac:dyDescent="0.25">
      <c r="D5" s="5" t="s">
        <v>3</v>
      </c>
      <c r="E5" s="5" t="s">
        <v>4</v>
      </c>
      <c r="F5" s="5" t="s">
        <v>14</v>
      </c>
      <c r="G5" s="5" t="s">
        <v>30</v>
      </c>
      <c r="H5" s="5" t="s">
        <v>32</v>
      </c>
      <c r="I5" s="5" t="s">
        <v>28</v>
      </c>
      <c r="J5" s="5" t="s">
        <v>39</v>
      </c>
      <c r="K5" s="5" t="s">
        <v>29</v>
      </c>
      <c r="L5" s="5" t="s">
        <v>16</v>
      </c>
      <c r="M5" s="5" t="s">
        <v>35</v>
      </c>
      <c r="N5" s="5" t="s">
        <v>36</v>
      </c>
      <c r="O5" s="5" t="s">
        <v>42</v>
      </c>
      <c r="P5" s="5" t="s">
        <v>6</v>
      </c>
    </row>
    <row r="6" spans="1:18" ht="33.6" customHeight="1" x14ac:dyDescent="0.25">
      <c r="D6" s="4"/>
      <c r="E6" s="4"/>
      <c r="F6" s="4"/>
      <c r="G6" s="4" t="s">
        <v>33</v>
      </c>
      <c r="H6" s="4" t="s">
        <v>34</v>
      </c>
      <c r="I6" s="4"/>
      <c r="J6" s="4"/>
      <c r="K6" s="4"/>
      <c r="L6" s="4"/>
      <c r="M6" s="4"/>
      <c r="N6" s="4"/>
      <c r="O6" s="4"/>
      <c r="P6" s="4"/>
    </row>
    <row r="7" spans="1:18" x14ac:dyDescent="0.25">
      <c r="B7" s="1">
        <v>3385120</v>
      </c>
      <c r="C7" s="1"/>
      <c r="D7" s="1">
        <v>900000</v>
      </c>
      <c r="E7" s="1">
        <v>650000</v>
      </c>
      <c r="F7" s="1">
        <f>161000+9000+9000</f>
        <v>179000</v>
      </c>
      <c r="G7" s="1">
        <f>300000+150000</f>
        <v>450000</v>
      </c>
      <c r="H7" s="1">
        <f>4000+34000+18067</f>
        <v>56067</v>
      </c>
      <c r="I7" s="1">
        <v>244869</v>
      </c>
      <c r="J7" s="1">
        <f>520000-150000-239891</f>
        <v>130109</v>
      </c>
      <c r="K7" s="1">
        <v>8000</v>
      </c>
      <c r="L7" s="1">
        <v>200000</v>
      </c>
      <c r="M7" s="1">
        <f>150000+239891</f>
        <v>389891</v>
      </c>
      <c r="N7" s="1">
        <v>27184</v>
      </c>
      <c r="O7" s="1">
        <v>150000</v>
      </c>
      <c r="P7" s="1">
        <f>+B7-L7-K7-J7-I7-H7-G7-F7-E7-D7-N7-M7-O7</f>
        <v>0</v>
      </c>
    </row>
    <row r="8" spans="1:18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8" x14ac:dyDescent="0.25">
      <c r="A9" s="6">
        <v>44440</v>
      </c>
      <c r="B9" s="1">
        <f t="shared" ref="B9:B33" si="0">SUM(D9:P9)</f>
        <v>-7000</v>
      </c>
      <c r="C9" s="1"/>
      <c r="D9" s="1"/>
      <c r="E9" s="1"/>
      <c r="F9" s="1"/>
      <c r="G9" s="1"/>
      <c r="H9" s="1"/>
      <c r="I9" s="1"/>
      <c r="J9" s="1">
        <v>-7000</v>
      </c>
      <c r="K9" s="1"/>
      <c r="L9" s="1"/>
      <c r="M9" s="1"/>
      <c r="N9" s="1"/>
      <c r="O9" s="1"/>
      <c r="P9" s="1"/>
    </row>
    <row r="10" spans="1:18" x14ac:dyDescent="0.25">
      <c r="A10" s="6">
        <v>44470</v>
      </c>
      <c r="B10" s="1">
        <f t="shared" si="0"/>
        <v>-44000</v>
      </c>
      <c r="C10" s="1"/>
      <c r="D10" s="1"/>
      <c r="E10" s="1"/>
      <c r="F10" s="1"/>
      <c r="G10" s="1"/>
      <c r="H10" s="1">
        <v>-38000</v>
      </c>
      <c r="I10" s="1"/>
      <c r="J10" s="1">
        <v>-6000</v>
      </c>
      <c r="K10" s="1"/>
      <c r="L10" s="1"/>
      <c r="M10" s="1"/>
      <c r="N10" s="1"/>
      <c r="O10" s="1"/>
      <c r="P10" s="1"/>
    </row>
    <row r="11" spans="1:18" x14ac:dyDescent="0.25">
      <c r="A11" s="6">
        <v>44501</v>
      </c>
      <c r="B11" s="1">
        <f t="shared" si="0"/>
        <v>-5000</v>
      </c>
      <c r="C11" s="1"/>
      <c r="D11" s="1"/>
      <c r="E11" s="1"/>
      <c r="F11" s="1"/>
      <c r="G11" s="1"/>
      <c r="H11" s="1"/>
      <c r="I11" s="1"/>
      <c r="J11" s="1">
        <v>-5000</v>
      </c>
      <c r="K11" s="1"/>
      <c r="L11" s="1"/>
      <c r="M11" s="1"/>
      <c r="N11" s="1"/>
      <c r="O11" s="1"/>
      <c r="P11" s="1"/>
    </row>
    <row r="12" spans="1:18" x14ac:dyDescent="0.25">
      <c r="A12" s="6">
        <v>44531</v>
      </c>
      <c r="B12" s="1">
        <f t="shared" si="0"/>
        <v>-584332.71</v>
      </c>
      <c r="C12" s="1"/>
      <c r="D12" s="1">
        <v>-442495</v>
      </c>
      <c r="E12" s="1"/>
      <c r="F12" s="1">
        <f>-50218.4-88179.31</f>
        <v>-138397.71</v>
      </c>
      <c r="G12" s="1"/>
      <c r="H12" s="1"/>
      <c r="I12" s="1"/>
      <c r="J12" s="1">
        <v>-2000</v>
      </c>
      <c r="K12" s="1"/>
      <c r="L12" s="1"/>
      <c r="M12" s="1"/>
      <c r="N12" s="1">
        <v>-1440</v>
      </c>
      <c r="O12" s="1"/>
      <c r="P12" s="1"/>
    </row>
    <row r="13" spans="1:18" x14ac:dyDescent="0.25">
      <c r="A13" s="6">
        <v>44562</v>
      </c>
      <c r="B13" s="1">
        <f t="shared" si="0"/>
        <v>-80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v>-80</v>
      </c>
      <c r="O13" s="1"/>
      <c r="P13" s="1"/>
    </row>
    <row r="14" spans="1:18" x14ac:dyDescent="0.25">
      <c r="A14" s="6">
        <v>44593</v>
      </c>
      <c r="B14" s="1">
        <f t="shared" si="0"/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x14ac:dyDescent="0.25">
      <c r="A15" s="6">
        <v>44621</v>
      </c>
      <c r="B15" s="1">
        <f t="shared" si="0"/>
        <v>-80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v>-80</v>
      </c>
      <c r="O15" s="1"/>
      <c r="P15" s="1"/>
      <c r="Q15" s="1">
        <f>SUM(D9:N15)</f>
        <v>-640492.71</v>
      </c>
      <c r="R15" t="s">
        <v>40</v>
      </c>
    </row>
    <row r="16" spans="1:18" x14ac:dyDescent="0.25">
      <c r="A16" s="6">
        <v>44652</v>
      </c>
      <c r="B16" s="1">
        <f t="shared" si="0"/>
        <v>-39375.410000000003</v>
      </c>
      <c r="C16" s="1"/>
      <c r="D16" s="1"/>
      <c r="E16" s="1">
        <f>-1400-37895.41</f>
        <v>-39295.410000000003</v>
      </c>
      <c r="F16" s="1"/>
      <c r="G16" s="1"/>
      <c r="H16" s="1"/>
      <c r="I16" s="1"/>
      <c r="J16" s="1"/>
      <c r="K16" s="1"/>
      <c r="L16" s="1"/>
      <c r="M16" s="1"/>
      <c r="N16" s="1">
        <v>-80</v>
      </c>
      <c r="O16" s="1"/>
      <c r="P16" s="1"/>
    </row>
    <row r="17" spans="1:18" x14ac:dyDescent="0.25">
      <c r="A17" s="6">
        <v>44682</v>
      </c>
      <c r="B17" s="1">
        <f t="shared" si="0"/>
        <v>-18067</v>
      </c>
      <c r="C17" s="1"/>
      <c r="D17" s="1"/>
      <c r="E17" s="1"/>
      <c r="F17" s="1"/>
      <c r="G17" s="1"/>
      <c r="H17" s="1">
        <v>-18067</v>
      </c>
      <c r="I17" s="1"/>
      <c r="J17" s="1"/>
      <c r="K17" s="1"/>
      <c r="L17" s="1"/>
      <c r="M17" s="1"/>
      <c r="N17" s="1"/>
      <c r="O17" s="1"/>
      <c r="P17" s="1"/>
    </row>
    <row r="18" spans="1:18" x14ac:dyDescent="0.25">
      <c r="A18" s="6">
        <v>44713</v>
      </c>
      <c r="B18" s="1">
        <f t="shared" si="0"/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8" x14ac:dyDescent="0.25">
      <c r="A19" s="6">
        <v>44743</v>
      </c>
      <c r="B19" s="1">
        <f t="shared" si="0"/>
        <v>-581578.9</v>
      </c>
      <c r="C19" s="1"/>
      <c r="D19" s="1"/>
      <c r="E19" s="1">
        <f>-90558.76-185821.24</f>
        <v>-276380</v>
      </c>
      <c r="F19" s="1"/>
      <c r="G19" s="1">
        <v>-300000</v>
      </c>
      <c r="H19" s="1"/>
      <c r="I19" s="1">
        <v>-1390.9</v>
      </c>
      <c r="J19" s="1">
        <v>-3808</v>
      </c>
      <c r="K19" s="1"/>
      <c r="L19" s="1"/>
      <c r="M19" s="1"/>
      <c r="N19" s="1"/>
      <c r="O19" s="1"/>
      <c r="P19" s="1"/>
    </row>
    <row r="20" spans="1:18" x14ac:dyDescent="0.25">
      <c r="A20" s="6">
        <v>44774</v>
      </c>
      <c r="B20" s="1">
        <f t="shared" si="0"/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8" x14ac:dyDescent="0.25">
      <c r="A21" s="6">
        <v>44805</v>
      </c>
      <c r="B21" s="1">
        <f t="shared" si="0"/>
        <v>-476204.7</v>
      </c>
      <c r="C21" s="1"/>
      <c r="D21" s="1">
        <v>-457505</v>
      </c>
      <c r="E21" s="1"/>
      <c r="F21" s="1">
        <v>-9000</v>
      </c>
      <c r="G21" s="1"/>
      <c r="H21" s="1"/>
      <c r="I21" s="1">
        <v>-4478.7</v>
      </c>
      <c r="J21" s="1"/>
      <c r="K21" s="1"/>
      <c r="L21" s="1">
        <v>-5221</v>
      </c>
      <c r="M21" s="1"/>
      <c r="N21" s="1"/>
      <c r="O21" s="1"/>
      <c r="P21" s="1"/>
    </row>
    <row r="22" spans="1:18" x14ac:dyDescent="0.25">
      <c r="A22" s="6">
        <v>44835</v>
      </c>
      <c r="B22" s="1">
        <f t="shared" si="0"/>
        <v>-107203.76</v>
      </c>
      <c r="C22" s="1"/>
      <c r="D22" s="1"/>
      <c r="E22" s="1">
        <f>-90471-8732.76</f>
        <v>-99203.76</v>
      </c>
      <c r="F22" s="1"/>
      <c r="G22" s="1"/>
      <c r="H22" s="1"/>
      <c r="I22" s="1"/>
      <c r="J22" s="1"/>
      <c r="K22" s="1">
        <v>-8000</v>
      </c>
      <c r="L22" s="1"/>
      <c r="M22" s="1"/>
      <c r="N22" s="1"/>
      <c r="O22" s="1"/>
      <c r="P22" s="1"/>
    </row>
    <row r="23" spans="1:18" x14ac:dyDescent="0.25">
      <c r="A23" s="6">
        <v>44866</v>
      </c>
      <c r="B23" s="1">
        <f t="shared" si="0"/>
        <v>-69815.100000000006</v>
      </c>
      <c r="C23" s="1"/>
      <c r="D23" s="1"/>
      <c r="E23" s="1">
        <v>-7362.5</v>
      </c>
      <c r="F23" s="1"/>
      <c r="G23" s="1"/>
      <c r="H23" s="1"/>
      <c r="I23" s="1">
        <f>-1669.08-3588.52</f>
        <v>-5257.6</v>
      </c>
      <c r="J23" s="1"/>
      <c r="K23" s="1"/>
      <c r="L23" s="1">
        <f>-41466-15729</f>
        <v>-57195</v>
      </c>
      <c r="M23" s="1"/>
      <c r="N23" s="1"/>
      <c r="O23" s="1"/>
      <c r="P23" s="1"/>
    </row>
    <row r="24" spans="1:18" x14ac:dyDescent="0.25">
      <c r="A24" s="6">
        <v>44896</v>
      </c>
      <c r="B24" s="1">
        <f t="shared" si="0"/>
        <v>-56123.17</v>
      </c>
      <c r="C24" s="1"/>
      <c r="D24" s="1"/>
      <c r="E24" s="1"/>
      <c r="F24" s="1"/>
      <c r="G24" s="1"/>
      <c r="H24" s="1"/>
      <c r="I24" s="1">
        <f>-9087.3-3384.87</f>
        <v>-12472.169999999998</v>
      </c>
      <c r="J24" s="1"/>
      <c r="K24" s="1"/>
      <c r="L24" s="1">
        <f>-25390-18261</f>
        <v>-43651</v>
      </c>
      <c r="M24" s="1"/>
      <c r="N24" s="1"/>
      <c r="O24" s="1"/>
      <c r="P24" s="1"/>
    </row>
    <row r="25" spans="1:18" x14ac:dyDescent="0.25">
      <c r="A25" s="6">
        <v>44927</v>
      </c>
      <c r="B25" s="1">
        <f t="shared" si="0"/>
        <v>-12382.5</v>
      </c>
      <c r="C25" s="1"/>
      <c r="D25" s="1"/>
      <c r="E25" s="1"/>
      <c r="F25" s="1">
        <v>-6000</v>
      </c>
      <c r="G25" s="1"/>
      <c r="H25" s="1"/>
      <c r="I25" s="1"/>
      <c r="J25" s="1">
        <v>-382.5</v>
      </c>
      <c r="K25" s="1"/>
      <c r="L25" s="1"/>
      <c r="M25" s="1"/>
      <c r="N25" s="1">
        <v>-6000</v>
      </c>
      <c r="O25" s="1"/>
      <c r="P25" s="1"/>
    </row>
    <row r="26" spans="1:18" x14ac:dyDescent="0.25">
      <c r="A26" s="6">
        <v>44985</v>
      </c>
      <c r="B26" s="1">
        <f t="shared" si="0"/>
        <v>-788.5</v>
      </c>
      <c r="C26" s="1"/>
      <c r="D26" s="1"/>
      <c r="E26" s="1"/>
      <c r="F26" s="1"/>
      <c r="G26" s="1"/>
      <c r="H26" s="1"/>
      <c r="I26" s="1"/>
      <c r="J26" s="1">
        <f>-451-337.5</f>
        <v>-788.5</v>
      </c>
      <c r="K26" s="1"/>
      <c r="L26" s="1"/>
      <c r="M26" s="1"/>
      <c r="N26" s="1"/>
      <c r="O26" s="1"/>
      <c r="P26" s="1"/>
    </row>
    <row r="27" spans="1:18" x14ac:dyDescent="0.25">
      <c r="A27" s="6">
        <v>45016</v>
      </c>
      <c r="B27" s="1">
        <f t="shared" si="0"/>
        <v>-39749.01</v>
      </c>
      <c r="C27" s="1"/>
      <c r="D27" s="1"/>
      <c r="E27" s="1"/>
      <c r="F27" s="1"/>
      <c r="G27" s="1"/>
      <c r="H27" s="1"/>
      <c r="I27" s="1">
        <f>-9922.1-8392.63-1086.4</f>
        <v>-19401.13</v>
      </c>
      <c r="J27" s="1"/>
      <c r="K27" s="1"/>
      <c r="L27" s="1">
        <v>-4573</v>
      </c>
      <c r="M27" s="1">
        <f>-774.88-15000</f>
        <v>-15774.88</v>
      </c>
      <c r="N27" s="1"/>
      <c r="O27" s="1"/>
      <c r="P27" s="1"/>
      <c r="Q27" s="1">
        <f>SUM(D16:N27)</f>
        <v>-1401288.0499999998</v>
      </c>
      <c r="R27" t="s">
        <v>41</v>
      </c>
    </row>
    <row r="28" spans="1:18" x14ac:dyDescent="0.25">
      <c r="A28" s="6">
        <v>45039</v>
      </c>
      <c r="B28" s="1">
        <f t="shared" si="0"/>
        <v>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x14ac:dyDescent="0.25">
      <c r="A29" s="6">
        <v>45069</v>
      </c>
      <c r="B29" s="1">
        <f t="shared" si="0"/>
        <v>-169931.7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>
        <v>-19931.7</v>
      </c>
      <c r="N29" s="1"/>
      <c r="O29" s="1">
        <v>-150000</v>
      </c>
      <c r="P29" s="1"/>
      <c r="Q29" s="1"/>
    </row>
    <row r="30" spans="1:18" x14ac:dyDescent="0.25">
      <c r="A30" s="6">
        <v>45100</v>
      </c>
      <c r="B30" s="1">
        <f t="shared" si="0"/>
        <v>-100091.18</v>
      </c>
      <c r="C30" s="1"/>
      <c r="D30" s="1"/>
      <c r="E30" s="1">
        <v>-43635</v>
      </c>
      <c r="F30" s="1"/>
      <c r="G30" s="1"/>
      <c r="H30" s="1"/>
      <c r="I30" s="1">
        <f>-1722.5-3100.5</f>
        <v>-4823</v>
      </c>
      <c r="J30" s="1"/>
      <c r="K30" s="1"/>
      <c r="L30" s="1"/>
      <c r="M30" s="1">
        <f>-20646.55-30986.63</f>
        <v>-51633.18</v>
      </c>
      <c r="N30" s="1"/>
      <c r="O30" s="1"/>
      <c r="P30" s="1"/>
    </row>
    <row r="31" spans="1:18" x14ac:dyDescent="0.25">
      <c r="A31" s="6">
        <v>45130</v>
      </c>
      <c r="B31" s="1">
        <f t="shared" si="0"/>
        <v>-35354.119999999995</v>
      </c>
      <c r="C31" s="1"/>
      <c r="D31" s="1"/>
      <c r="E31" s="1"/>
      <c r="F31" s="1"/>
      <c r="G31" s="1"/>
      <c r="H31" s="1"/>
      <c r="I31" s="1">
        <v>-689</v>
      </c>
      <c r="J31" s="1">
        <v>-6355</v>
      </c>
      <c r="K31" s="1"/>
      <c r="L31" s="1"/>
      <c r="M31" s="1">
        <v>-28310.12</v>
      </c>
      <c r="N31" s="1"/>
      <c r="O31" s="1"/>
      <c r="P31" s="1"/>
    </row>
    <row r="32" spans="1:18" x14ac:dyDescent="0.25">
      <c r="A32" s="6">
        <v>45169</v>
      </c>
      <c r="B32" s="1">
        <f t="shared" si="0"/>
        <v>-57174.38</v>
      </c>
      <c r="C32" s="1"/>
      <c r="D32" s="1"/>
      <c r="E32" s="1"/>
      <c r="F32" s="1"/>
      <c r="G32" s="1"/>
      <c r="H32" s="1"/>
      <c r="I32" s="1">
        <v>-1033.5</v>
      </c>
      <c r="J32" s="1">
        <v>-8775</v>
      </c>
      <c r="K32" s="1"/>
      <c r="L32" s="1"/>
      <c r="M32" s="1">
        <v>-47365.88</v>
      </c>
      <c r="N32" s="1"/>
      <c r="O32" s="1"/>
      <c r="P32" s="1"/>
    </row>
    <row r="33" spans="1:17" x14ac:dyDescent="0.25">
      <c r="A33" s="6">
        <v>45199</v>
      </c>
      <c r="B33" s="1">
        <f t="shared" si="0"/>
        <v>-15477.3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>
        <v>-15477.3</v>
      </c>
      <c r="N33" s="1"/>
      <c r="O33" s="1"/>
      <c r="P33" s="1"/>
    </row>
    <row r="34" spans="1:17" ht="30" x14ac:dyDescent="0.25">
      <c r="A34" s="4" t="s">
        <v>10</v>
      </c>
      <c r="B34" s="1">
        <f>SUM(B9:B33)</f>
        <v>-2419809.44</v>
      </c>
      <c r="C34" s="1"/>
      <c r="D34" s="1">
        <f>SUM(D9:D32)</f>
        <v>-900000</v>
      </c>
      <c r="E34" s="1">
        <f t="shared" ref="E34:P34" si="1">SUM(E9:E32)</f>
        <v>-465876.67000000004</v>
      </c>
      <c r="F34" s="1">
        <f t="shared" si="1"/>
        <v>-153397.71</v>
      </c>
      <c r="G34" s="1">
        <f t="shared" si="1"/>
        <v>-300000</v>
      </c>
      <c r="H34" s="1">
        <f t="shared" si="1"/>
        <v>-56067</v>
      </c>
      <c r="I34" s="1">
        <f t="shared" si="1"/>
        <v>-49546</v>
      </c>
      <c r="J34" s="1">
        <f t="shared" si="1"/>
        <v>-40109</v>
      </c>
      <c r="K34" s="1">
        <f t="shared" si="1"/>
        <v>-8000</v>
      </c>
      <c r="L34" s="1">
        <f t="shared" si="1"/>
        <v>-110640</v>
      </c>
      <c r="M34" s="1">
        <f>SUM(M9:M33)</f>
        <v>-178493.06</v>
      </c>
      <c r="N34" s="1">
        <f t="shared" si="1"/>
        <v>-7680</v>
      </c>
      <c r="O34" s="1">
        <f t="shared" si="1"/>
        <v>-150000</v>
      </c>
      <c r="P34" s="1">
        <f t="shared" si="1"/>
        <v>0</v>
      </c>
    </row>
    <row r="35" spans="1:17" x14ac:dyDescent="0.25">
      <c r="B35" s="1">
        <f>SUM(D34:P34)</f>
        <v>-2419809.44</v>
      </c>
      <c r="C35" t="s">
        <v>11</v>
      </c>
      <c r="Q35" s="1">
        <f>+Q15+Q27</f>
        <v>-2041780.7599999998</v>
      </c>
    </row>
    <row r="37" spans="1:17" ht="30" x14ac:dyDescent="0.25">
      <c r="A37" s="4" t="s">
        <v>12</v>
      </c>
      <c r="B37" s="1">
        <f>+B7+B34</f>
        <v>965310.56</v>
      </c>
      <c r="D37" s="1">
        <f t="shared" ref="D37:P37" si="2">+D7+D34</f>
        <v>0</v>
      </c>
      <c r="E37" s="1">
        <f t="shared" si="2"/>
        <v>184123.32999999996</v>
      </c>
      <c r="F37" s="1">
        <f t="shared" si="2"/>
        <v>25602.290000000008</v>
      </c>
      <c r="G37" s="1">
        <f t="shared" si="2"/>
        <v>150000</v>
      </c>
      <c r="H37" s="1">
        <f t="shared" si="2"/>
        <v>0</v>
      </c>
      <c r="I37" s="1">
        <f t="shared" si="2"/>
        <v>195323</v>
      </c>
      <c r="J37" s="1">
        <f t="shared" si="2"/>
        <v>90000</v>
      </c>
      <c r="K37" s="1">
        <f t="shared" si="2"/>
        <v>0</v>
      </c>
      <c r="L37" s="1">
        <f t="shared" si="2"/>
        <v>89360</v>
      </c>
      <c r="M37" s="1">
        <f t="shared" si="2"/>
        <v>211397.94</v>
      </c>
      <c r="N37" s="1">
        <f t="shared" si="2"/>
        <v>19504</v>
      </c>
      <c r="O37" s="1">
        <f t="shared" si="2"/>
        <v>0</v>
      </c>
      <c r="P37" s="1">
        <f t="shared" si="2"/>
        <v>0</v>
      </c>
    </row>
    <row r="38" spans="1:17" x14ac:dyDescent="0.25">
      <c r="B38" s="1">
        <f>SUM(D37:P37)</f>
        <v>965310.56</v>
      </c>
      <c r="C38" t="s">
        <v>11</v>
      </c>
      <c r="J38" t="s">
        <v>37</v>
      </c>
    </row>
    <row r="39" spans="1:17" x14ac:dyDescent="0.25">
      <c r="J39" t="s">
        <v>38</v>
      </c>
    </row>
    <row r="40" spans="1:17" x14ac:dyDescent="0.25">
      <c r="J40" s="1"/>
      <c r="L40" s="1"/>
    </row>
    <row r="42" spans="1:17" x14ac:dyDescent="0.25">
      <c r="G42" s="1"/>
    </row>
  </sheetData>
  <printOptions gridLines="1"/>
  <pageMargins left="0.7" right="0.7" top="0.75" bottom="0.75" header="0.3" footer="0.3"/>
  <pageSetup scale="56" orientation="landscape" r:id="rId1"/>
  <headerFooter>
    <oddFooter>&amp;L&amp;Z&amp;F&amp;R&amp;D&amp;T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1B7D8-B29B-4E0D-BFB2-AF29D3867E9D}">
  <sheetPr>
    <pageSetUpPr fitToPage="1"/>
  </sheetPr>
  <dimension ref="A1:N31"/>
  <sheetViews>
    <sheetView topLeftCell="A16" zoomScaleNormal="100" workbookViewId="0">
      <selection activeCell="E17" sqref="E17"/>
    </sheetView>
  </sheetViews>
  <sheetFormatPr defaultRowHeight="15" x14ac:dyDescent="0.25"/>
  <cols>
    <col min="2" max="2" width="12.7109375" customWidth="1"/>
    <col min="4" max="4" width="9" bestFit="1" customWidth="1"/>
    <col min="5" max="5" width="10.28515625" customWidth="1"/>
    <col min="6" max="6" width="11.85546875" customWidth="1"/>
    <col min="7" max="7" width="13.5703125" customWidth="1"/>
    <col min="8" max="8" width="14.5703125" customWidth="1"/>
    <col min="9" max="9" width="11.5703125" bestFit="1" customWidth="1"/>
    <col min="10" max="10" width="14.28515625" customWidth="1"/>
    <col min="11" max="11" width="9.7109375" customWidth="1"/>
    <col min="12" max="12" width="14.42578125" customWidth="1"/>
    <col min="13" max="13" width="10.85546875" customWidth="1"/>
    <col min="14" max="14" width="10.140625" bestFit="1" customWidth="1"/>
  </cols>
  <sheetData>
    <row r="1" spans="1:14" ht="26.25" x14ac:dyDescent="0.4">
      <c r="B1" s="2" t="s">
        <v>0</v>
      </c>
      <c r="C1" s="2"/>
      <c r="D1" s="2"/>
      <c r="E1" s="2"/>
      <c r="F1" s="2"/>
      <c r="M1" t="s">
        <v>15</v>
      </c>
      <c r="N1" s="8">
        <v>44713</v>
      </c>
    </row>
    <row r="2" spans="1:14" ht="26.25" x14ac:dyDescent="0.4">
      <c r="B2" s="2" t="s">
        <v>1</v>
      </c>
      <c r="C2" s="2"/>
      <c r="D2" s="2"/>
      <c r="E2" s="2"/>
      <c r="F2" s="2"/>
    </row>
    <row r="3" spans="1:14" ht="26.25" x14ac:dyDescent="0.4">
      <c r="B3" s="2"/>
      <c r="C3" s="2"/>
      <c r="D3" s="2"/>
      <c r="E3" s="2"/>
      <c r="F3" s="2"/>
    </row>
    <row r="4" spans="1:14" ht="26.45" customHeight="1" x14ac:dyDescent="0.25">
      <c r="A4" s="7" t="s">
        <v>8</v>
      </c>
      <c r="B4" s="3" t="s">
        <v>2</v>
      </c>
      <c r="C4" s="3" t="s">
        <v>7</v>
      </c>
      <c r="D4" s="3" t="s">
        <v>17</v>
      </c>
      <c r="E4" s="3" t="s">
        <v>18</v>
      </c>
      <c r="F4" s="3" t="s">
        <v>19</v>
      </c>
      <c r="G4" s="3" t="s">
        <v>25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</row>
    <row r="5" spans="1:14" ht="58.15" customHeight="1" x14ac:dyDescent="0.25">
      <c r="D5" s="5" t="s">
        <v>3</v>
      </c>
      <c r="E5" s="5" t="s">
        <v>4</v>
      </c>
      <c r="F5" s="5" t="s">
        <v>14</v>
      </c>
      <c r="G5" s="5" t="s">
        <v>30</v>
      </c>
      <c r="H5" s="5" t="s">
        <v>5</v>
      </c>
      <c r="I5" s="5" t="s">
        <v>28</v>
      </c>
      <c r="J5" s="5" t="s">
        <v>13</v>
      </c>
      <c r="K5" s="5" t="s">
        <v>29</v>
      </c>
      <c r="L5" s="5" t="s">
        <v>16</v>
      </c>
      <c r="M5" s="5" t="s">
        <v>9</v>
      </c>
      <c r="N5" s="5" t="s">
        <v>6</v>
      </c>
    </row>
    <row r="6" spans="1:14" ht="33.6" customHeight="1" x14ac:dyDescent="0.25">
      <c r="D6" s="4"/>
      <c r="E6" s="4"/>
      <c r="F6" s="4"/>
      <c r="G6" s="4" t="s">
        <v>31</v>
      </c>
      <c r="H6" s="4"/>
      <c r="I6" s="4"/>
      <c r="J6" s="4"/>
      <c r="K6" s="4"/>
      <c r="L6" s="4"/>
      <c r="M6" s="4"/>
      <c r="N6" s="4"/>
    </row>
    <row r="7" spans="1:14" x14ac:dyDescent="0.25">
      <c r="B7" s="1">
        <v>3385120</v>
      </c>
      <c r="C7" s="1"/>
      <c r="D7" s="1">
        <v>900000</v>
      </c>
      <c r="E7" s="1">
        <v>650000</v>
      </c>
      <c r="F7" s="1">
        <f>161000+9000</f>
        <v>170000</v>
      </c>
      <c r="G7" s="1">
        <f>300000+150000+18067</f>
        <v>468067</v>
      </c>
      <c r="H7" s="1">
        <f>4000+34000</f>
        <v>38000</v>
      </c>
      <c r="I7" s="1">
        <v>244869</v>
      </c>
      <c r="J7" s="1">
        <v>520000</v>
      </c>
      <c r="K7" s="1">
        <v>18000</v>
      </c>
      <c r="L7" s="1">
        <v>200000</v>
      </c>
      <c r="M7" s="1">
        <v>9000</v>
      </c>
      <c r="N7" s="1">
        <f>+B7-L7-K7-J7-I7-H7-G7-F7-E7-D7-M7</f>
        <v>167184</v>
      </c>
    </row>
    <row r="8" spans="1:14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6">
        <v>44440</v>
      </c>
      <c r="B9" s="1">
        <f t="shared" ref="B9:B11" si="0">SUM(D9:N9)</f>
        <v>-7000</v>
      </c>
      <c r="C9" s="1"/>
      <c r="D9" s="1"/>
      <c r="E9" s="1"/>
      <c r="F9" s="1"/>
      <c r="G9" s="1"/>
      <c r="H9" s="1"/>
      <c r="I9" s="1"/>
      <c r="J9" s="1">
        <v>-7000</v>
      </c>
      <c r="K9" s="1"/>
      <c r="L9" s="1"/>
      <c r="M9" s="1"/>
      <c r="N9" s="1"/>
    </row>
    <row r="10" spans="1:14" x14ac:dyDescent="0.25">
      <c r="A10" s="6">
        <v>44470</v>
      </c>
      <c r="B10" s="1">
        <f t="shared" si="0"/>
        <v>-44000</v>
      </c>
      <c r="C10" s="1"/>
      <c r="D10" s="1"/>
      <c r="E10" s="1"/>
      <c r="F10" s="1"/>
      <c r="G10" s="1"/>
      <c r="H10" s="1">
        <v>-38000</v>
      </c>
      <c r="I10" s="1"/>
      <c r="J10" s="1">
        <v>-6000</v>
      </c>
      <c r="K10" s="1"/>
      <c r="L10" s="1"/>
      <c r="M10" s="1"/>
      <c r="N10" s="1"/>
    </row>
    <row r="11" spans="1:14" x14ac:dyDescent="0.25">
      <c r="A11" s="6">
        <v>44501</v>
      </c>
      <c r="B11" s="1">
        <f t="shared" si="0"/>
        <v>-5000</v>
      </c>
      <c r="C11" s="1"/>
      <c r="D11" s="1"/>
      <c r="E11" s="1"/>
      <c r="F11" s="1"/>
      <c r="G11" s="1"/>
      <c r="H11" s="1"/>
      <c r="I11" s="1"/>
      <c r="J11" s="1">
        <v>-5000</v>
      </c>
      <c r="K11" s="1"/>
      <c r="L11" s="1"/>
      <c r="M11" s="1"/>
      <c r="N11" s="1"/>
    </row>
    <row r="12" spans="1:14" x14ac:dyDescent="0.25">
      <c r="A12" s="6">
        <v>44531</v>
      </c>
      <c r="B12" s="1">
        <f>SUM(D12:N12)</f>
        <v>-584332.71</v>
      </c>
      <c r="C12" s="1"/>
      <c r="D12" s="1">
        <v>-442495</v>
      </c>
      <c r="E12" s="1"/>
      <c r="F12" s="1">
        <f>-50218.4-88179.31</f>
        <v>-138397.71</v>
      </c>
      <c r="G12" s="1"/>
      <c r="H12" s="1"/>
      <c r="I12" s="1"/>
      <c r="J12" s="1">
        <v>-2000</v>
      </c>
      <c r="K12" s="1"/>
      <c r="L12" s="1"/>
      <c r="M12" s="1">
        <v>-1440</v>
      </c>
      <c r="N12" s="1"/>
    </row>
    <row r="13" spans="1:14" x14ac:dyDescent="0.25">
      <c r="A13" s="6">
        <v>44562</v>
      </c>
      <c r="B13" s="1">
        <f t="shared" ref="B13:B25" si="1">SUM(D13:N13)</f>
        <v>-80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-80</v>
      </c>
      <c r="N13" s="1"/>
    </row>
    <row r="14" spans="1:14" x14ac:dyDescent="0.25">
      <c r="A14" s="6">
        <v>44593</v>
      </c>
      <c r="B14" s="1">
        <f t="shared" si="1"/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6">
        <v>44621</v>
      </c>
      <c r="B15" s="1">
        <f t="shared" si="1"/>
        <v>-80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-80</v>
      </c>
      <c r="N15" s="1"/>
    </row>
    <row r="16" spans="1:14" x14ac:dyDescent="0.25">
      <c r="A16" s="6">
        <v>44652</v>
      </c>
      <c r="B16" s="1">
        <f t="shared" si="1"/>
        <v>-39375.410000000003</v>
      </c>
      <c r="C16" s="1"/>
      <c r="D16" s="1"/>
      <c r="E16" s="1">
        <f>-1400-37895.41</f>
        <v>-39295.410000000003</v>
      </c>
      <c r="F16" s="1"/>
      <c r="G16" s="1"/>
      <c r="H16" s="1"/>
      <c r="I16" s="1"/>
      <c r="J16" s="1"/>
      <c r="K16" s="1"/>
      <c r="L16" s="1"/>
      <c r="M16" s="1">
        <v>-80</v>
      </c>
      <c r="N16" s="1"/>
    </row>
    <row r="17" spans="1:14" x14ac:dyDescent="0.25">
      <c r="A17" s="6">
        <v>44682</v>
      </c>
      <c r="B17" s="1">
        <f t="shared" si="1"/>
        <v>-18067</v>
      </c>
      <c r="C17" s="1"/>
      <c r="D17" s="1"/>
      <c r="E17" s="1"/>
      <c r="F17" s="1"/>
      <c r="G17" s="1">
        <v>-18067</v>
      </c>
      <c r="H17" s="1"/>
      <c r="I17" s="1"/>
      <c r="J17" s="1"/>
      <c r="K17" s="1"/>
      <c r="L17" s="1"/>
      <c r="M17" s="1"/>
      <c r="N17" s="1"/>
    </row>
    <row r="18" spans="1:14" x14ac:dyDescent="0.25">
      <c r="A18" s="6">
        <v>44713</v>
      </c>
      <c r="B18" s="1">
        <f t="shared" si="1"/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6">
        <v>44743</v>
      </c>
      <c r="B19" s="1">
        <f t="shared" si="1"/>
        <v>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6">
        <v>44774</v>
      </c>
      <c r="B20" s="1">
        <f t="shared" si="1"/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6">
        <v>44805</v>
      </c>
      <c r="B21" s="1">
        <f t="shared" si="1"/>
        <v>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6">
        <v>44835</v>
      </c>
      <c r="B22" s="1">
        <f t="shared" si="1"/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6">
        <v>44866</v>
      </c>
      <c r="B23" s="1">
        <f t="shared" si="1"/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6">
        <v>44896</v>
      </c>
      <c r="B24" s="1">
        <f t="shared" si="1"/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6">
        <v>44927</v>
      </c>
      <c r="B25" s="1">
        <f t="shared" si="1"/>
        <v>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45" x14ac:dyDescent="0.25">
      <c r="A27" s="4" t="s">
        <v>10</v>
      </c>
      <c r="B27" s="1">
        <f>SUM(B9:B26)</f>
        <v>-697935.12</v>
      </c>
      <c r="C27" s="1"/>
      <c r="D27" s="1">
        <f t="shared" ref="D27:N27" si="2">SUM(D9:D26)</f>
        <v>-442495</v>
      </c>
      <c r="E27" s="1">
        <f t="shared" si="2"/>
        <v>-39295.410000000003</v>
      </c>
      <c r="F27" s="1">
        <f t="shared" si="2"/>
        <v>-138397.71</v>
      </c>
      <c r="G27" s="1">
        <f t="shared" si="2"/>
        <v>-18067</v>
      </c>
      <c r="H27" s="1">
        <f t="shared" si="2"/>
        <v>-38000</v>
      </c>
      <c r="I27" s="1">
        <f t="shared" si="2"/>
        <v>0</v>
      </c>
      <c r="J27" s="1">
        <f t="shared" si="2"/>
        <v>-20000</v>
      </c>
      <c r="K27" s="1">
        <f t="shared" si="2"/>
        <v>0</v>
      </c>
      <c r="L27" s="1">
        <f t="shared" si="2"/>
        <v>0</v>
      </c>
      <c r="M27" s="1">
        <f t="shared" si="2"/>
        <v>-1680</v>
      </c>
      <c r="N27" s="1">
        <f t="shared" si="2"/>
        <v>0</v>
      </c>
    </row>
    <row r="28" spans="1:14" x14ac:dyDescent="0.25">
      <c r="B28" s="1">
        <f>SUM(D27:N27)</f>
        <v>-697935.12</v>
      </c>
      <c r="C28" t="s">
        <v>11</v>
      </c>
    </row>
    <row r="30" spans="1:14" ht="30" x14ac:dyDescent="0.25">
      <c r="A30" s="4" t="s">
        <v>12</v>
      </c>
      <c r="B30" s="1">
        <f>+B7+B27</f>
        <v>2687184.88</v>
      </c>
      <c r="D30" s="1">
        <f t="shared" ref="D30:N30" si="3">+D7+D27</f>
        <v>457505</v>
      </c>
      <c r="E30" s="1">
        <f t="shared" si="3"/>
        <v>610704.59</v>
      </c>
      <c r="F30" s="1">
        <f t="shared" si="3"/>
        <v>31602.290000000008</v>
      </c>
      <c r="G30" s="1">
        <f t="shared" si="3"/>
        <v>450000</v>
      </c>
      <c r="H30" s="1">
        <f t="shared" si="3"/>
        <v>0</v>
      </c>
      <c r="I30" s="1">
        <f t="shared" si="3"/>
        <v>244869</v>
      </c>
      <c r="J30" s="1">
        <f t="shared" si="3"/>
        <v>500000</v>
      </c>
      <c r="K30" s="1">
        <f t="shared" si="3"/>
        <v>18000</v>
      </c>
      <c r="L30" s="1">
        <f t="shared" si="3"/>
        <v>200000</v>
      </c>
      <c r="M30" s="1">
        <f t="shared" si="3"/>
        <v>7320</v>
      </c>
      <c r="N30" s="1">
        <f t="shared" si="3"/>
        <v>167184</v>
      </c>
    </row>
    <row r="31" spans="1:14" x14ac:dyDescent="0.25">
      <c r="B31" s="1">
        <f>SUM(D30:N30)</f>
        <v>2687184.88</v>
      </c>
      <c r="C31" t="s">
        <v>11</v>
      </c>
    </row>
  </sheetData>
  <printOptions gridLines="1"/>
  <pageMargins left="0.7" right="0.7" top="0.75" bottom="0.75" header="0.3" footer="0.3"/>
  <pageSetup scale="76" orientation="landscape" r:id="rId1"/>
  <headerFooter>
    <oddFooter>&amp;L&amp;Z&amp;F&amp;R&amp;D&amp;T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6900A-5EC1-41CB-ABB0-1E1525DA1D4C}">
  <sheetPr>
    <pageSetUpPr fitToPage="1"/>
  </sheetPr>
  <dimension ref="A1:N31"/>
  <sheetViews>
    <sheetView zoomScaleNormal="100" workbookViewId="0">
      <selection activeCell="G18" sqref="G18"/>
    </sheetView>
  </sheetViews>
  <sheetFormatPr defaultRowHeight="15" x14ac:dyDescent="0.25"/>
  <cols>
    <col min="2" max="2" width="12.7109375" customWidth="1"/>
    <col min="4" max="4" width="9" bestFit="1" customWidth="1"/>
    <col min="5" max="5" width="10.28515625" customWidth="1"/>
    <col min="6" max="6" width="11.85546875" customWidth="1"/>
    <col min="7" max="7" width="13.5703125" customWidth="1"/>
    <col min="8" max="8" width="14.5703125" customWidth="1"/>
    <col min="9" max="9" width="11.5703125" bestFit="1" customWidth="1"/>
    <col min="10" max="10" width="14.28515625" customWidth="1"/>
    <col min="11" max="11" width="9.7109375" customWidth="1"/>
    <col min="12" max="12" width="14.42578125" customWidth="1"/>
    <col min="13" max="13" width="10.85546875" customWidth="1"/>
    <col min="14" max="14" width="10.140625" bestFit="1" customWidth="1"/>
  </cols>
  <sheetData>
    <row r="1" spans="1:14" ht="26.25" x14ac:dyDescent="0.4">
      <c r="B1" s="2" t="s">
        <v>0</v>
      </c>
      <c r="C1" s="2"/>
      <c r="D1" s="2"/>
      <c r="E1" s="2"/>
      <c r="F1" s="2"/>
      <c r="M1" t="s">
        <v>15</v>
      </c>
      <c r="N1" s="8">
        <v>44773</v>
      </c>
    </row>
    <row r="2" spans="1:14" ht="26.25" x14ac:dyDescent="0.4">
      <c r="B2" s="2" t="s">
        <v>1</v>
      </c>
      <c r="C2" s="2"/>
      <c r="D2" s="2"/>
      <c r="E2" s="2"/>
      <c r="F2" s="2"/>
    </row>
    <row r="3" spans="1:14" ht="26.25" x14ac:dyDescent="0.4">
      <c r="B3" s="2"/>
      <c r="C3" s="2"/>
      <c r="D3" s="2"/>
      <c r="E3" s="2"/>
      <c r="F3" s="2"/>
    </row>
    <row r="4" spans="1:14" ht="26.45" customHeight="1" x14ac:dyDescent="0.25">
      <c r="A4" s="7" t="s">
        <v>8</v>
      </c>
      <c r="B4" s="3" t="s">
        <v>2</v>
      </c>
      <c r="C4" s="3" t="s">
        <v>7</v>
      </c>
      <c r="D4" s="3" t="s">
        <v>17</v>
      </c>
      <c r="E4" s="3" t="s">
        <v>18</v>
      </c>
      <c r="F4" s="3" t="s">
        <v>19</v>
      </c>
      <c r="G4" s="3" t="s">
        <v>25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</row>
    <row r="5" spans="1:14" ht="58.15" customHeight="1" x14ac:dyDescent="0.25">
      <c r="D5" s="5" t="s">
        <v>3</v>
      </c>
      <c r="E5" s="5" t="s">
        <v>4</v>
      </c>
      <c r="F5" s="5" t="s">
        <v>14</v>
      </c>
      <c r="G5" s="5" t="s">
        <v>30</v>
      </c>
      <c r="H5" s="5" t="s">
        <v>32</v>
      </c>
      <c r="I5" s="5" t="s">
        <v>28</v>
      </c>
      <c r="J5" s="5" t="s">
        <v>13</v>
      </c>
      <c r="K5" s="5" t="s">
        <v>29</v>
      </c>
      <c r="L5" s="5" t="s">
        <v>16</v>
      </c>
      <c r="M5" s="5" t="s">
        <v>9</v>
      </c>
      <c r="N5" s="5" t="s">
        <v>6</v>
      </c>
    </row>
    <row r="6" spans="1:14" ht="33.6" customHeight="1" x14ac:dyDescent="0.25">
      <c r="D6" s="4"/>
      <c r="E6" s="4"/>
      <c r="F6" s="4"/>
      <c r="G6" s="4" t="s">
        <v>33</v>
      </c>
      <c r="H6" s="4" t="s">
        <v>34</v>
      </c>
      <c r="I6" s="4"/>
      <c r="J6" s="4"/>
      <c r="K6" s="4"/>
      <c r="L6" s="4"/>
      <c r="M6" s="4"/>
      <c r="N6" s="4"/>
    </row>
    <row r="7" spans="1:14" x14ac:dyDescent="0.25">
      <c r="B7" s="1">
        <v>3385120</v>
      </c>
      <c r="C7" s="1"/>
      <c r="D7" s="1">
        <v>900000</v>
      </c>
      <c r="E7" s="1">
        <v>650000</v>
      </c>
      <c r="F7" s="1">
        <f>161000+9000</f>
        <v>170000</v>
      </c>
      <c r="G7" s="1">
        <f>300000+150000</f>
        <v>450000</v>
      </c>
      <c r="H7" s="1">
        <f>4000+34000+18067</f>
        <v>56067</v>
      </c>
      <c r="I7" s="1">
        <v>244869</v>
      </c>
      <c r="J7" s="1">
        <v>520000</v>
      </c>
      <c r="K7" s="1">
        <v>18000</v>
      </c>
      <c r="L7" s="1">
        <v>200000</v>
      </c>
      <c r="M7" s="1">
        <v>9000</v>
      </c>
      <c r="N7" s="1">
        <f>+B7-L7-K7-J7-I7-H7-G7-F7-E7-D7-M7</f>
        <v>167184</v>
      </c>
    </row>
    <row r="8" spans="1:14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6">
        <v>44440</v>
      </c>
      <c r="B9" s="1">
        <f t="shared" ref="B9:B11" si="0">SUM(D9:N9)</f>
        <v>-7000</v>
      </c>
      <c r="C9" s="1"/>
      <c r="D9" s="1"/>
      <c r="E9" s="1"/>
      <c r="F9" s="1"/>
      <c r="G9" s="1"/>
      <c r="H9" s="1"/>
      <c r="I9" s="1"/>
      <c r="J9" s="1">
        <v>-7000</v>
      </c>
      <c r="K9" s="1"/>
      <c r="L9" s="1"/>
      <c r="M9" s="1"/>
      <c r="N9" s="1"/>
    </row>
    <row r="10" spans="1:14" x14ac:dyDescent="0.25">
      <c r="A10" s="6">
        <v>44470</v>
      </c>
      <c r="B10" s="1">
        <f t="shared" si="0"/>
        <v>-44000</v>
      </c>
      <c r="C10" s="1"/>
      <c r="D10" s="1"/>
      <c r="E10" s="1"/>
      <c r="F10" s="1"/>
      <c r="G10" s="1"/>
      <c r="H10" s="1">
        <v>-38000</v>
      </c>
      <c r="I10" s="1"/>
      <c r="J10" s="1">
        <v>-6000</v>
      </c>
      <c r="K10" s="1"/>
      <c r="L10" s="1"/>
      <c r="M10" s="1"/>
      <c r="N10" s="1"/>
    </row>
    <row r="11" spans="1:14" x14ac:dyDescent="0.25">
      <c r="A11" s="6">
        <v>44501</v>
      </c>
      <c r="B11" s="1">
        <f t="shared" si="0"/>
        <v>-5000</v>
      </c>
      <c r="C11" s="1"/>
      <c r="D11" s="1"/>
      <c r="E11" s="1"/>
      <c r="F11" s="1"/>
      <c r="G11" s="1"/>
      <c r="H11" s="1"/>
      <c r="I11" s="1"/>
      <c r="J11" s="1">
        <v>-5000</v>
      </c>
      <c r="K11" s="1"/>
      <c r="L11" s="1"/>
      <c r="M11" s="1"/>
      <c r="N11" s="1"/>
    </row>
    <row r="12" spans="1:14" x14ac:dyDescent="0.25">
      <c r="A12" s="6">
        <v>44531</v>
      </c>
      <c r="B12" s="1">
        <f>SUM(D12:N12)</f>
        <v>-584332.71</v>
      </c>
      <c r="C12" s="1"/>
      <c r="D12" s="1">
        <v>-442495</v>
      </c>
      <c r="E12" s="1"/>
      <c r="F12" s="1">
        <f>-50218.4-88179.31</f>
        <v>-138397.71</v>
      </c>
      <c r="G12" s="1"/>
      <c r="H12" s="1"/>
      <c r="I12" s="1"/>
      <c r="J12" s="1">
        <v>-2000</v>
      </c>
      <c r="K12" s="1"/>
      <c r="L12" s="1"/>
      <c r="M12" s="1">
        <v>-1440</v>
      </c>
      <c r="N12" s="1"/>
    </row>
    <row r="13" spans="1:14" x14ac:dyDescent="0.25">
      <c r="A13" s="6">
        <v>44562</v>
      </c>
      <c r="B13" s="1">
        <f t="shared" ref="B13:B25" si="1">SUM(D13:N13)</f>
        <v>-80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-80</v>
      </c>
      <c r="N13" s="1"/>
    </row>
    <row r="14" spans="1:14" x14ac:dyDescent="0.25">
      <c r="A14" s="6">
        <v>44593</v>
      </c>
      <c r="B14" s="1">
        <f t="shared" si="1"/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6">
        <v>44621</v>
      </c>
      <c r="B15" s="1">
        <f t="shared" si="1"/>
        <v>-80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-80</v>
      </c>
      <c r="N15" s="1"/>
    </row>
    <row r="16" spans="1:14" x14ac:dyDescent="0.25">
      <c r="A16" s="6">
        <v>44652</v>
      </c>
      <c r="B16" s="1">
        <f t="shared" si="1"/>
        <v>-39375.410000000003</v>
      </c>
      <c r="C16" s="1"/>
      <c r="D16" s="1"/>
      <c r="E16" s="1">
        <f>-1400-37895.41</f>
        <v>-39295.410000000003</v>
      </c>
      <c r="F16" s="1"/>
      <c r="G16" s="1"/>
      <c r="H16" s="1"/>
      <c r="I16" s="1"/>
      <c r="J16" s="1"/>
      <c r="K16" s="1"/>
      <c r="L16" s="1"/>
      <c r="M16" s="1">
        <v>-80</v>
      </c>
      <c r="N16" s="1"/>
    </row>
    <row r="17" spans="1:14" x14ac:dyDescent="0.25">
      <c r="A17" s="6">
        <v>44682</v>
      </c>
      <c r="B17" s="1">
        <f t="shared" si="1"/>
        <v>-18067</v>
      </c>
      <c r="C17" s="1"/>
      <c r="D17" s="1"/>
      <c r="E17" s="1"/>
      <c r="F17" s="1"/>
      <c r="G17" s="1"/>
      <c r="H17" s="1">
        <v>-18067</v>
      </c>
      <c r="I17" s="1"/>
      <c r="J17" s="1"/>
      <c r="K17" s="1"/>
      <c r="L17" s="1"/>
      <c r="M17" s="1"/>
      <c r="N17" s="1"/>
    </row>
    <row r="18" spans="1:14" x14ac:dyDescent="0.25">
      <c r="A18" s="6">
        <v>44713</v>
      </c>
      <c r="B18" s="1">
        <f t="shared" si="1"/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6">
        <v>44743</v>
      </c>
      <c r="B19" s="1">
        <f t="shared" si="1"/>
        <v>-581578.9</v>
      </c>
      <c r="C19" s="1"/>
      <c r="D19" s="1"/>
      <c r="E19" s="1">
        <v>-276380</v>
      </c>
      <c r="F19" s="1"/>
      <c r="G19" s="1">
        <v>-300000</v>
      </c>
      <c r="H19" s="1"/>
      <c r="I19" s="1">
        <v>-1390.9</v>
      </c>
      <c r="J19" s="1">
        <v>-3808</v>
      </c>
      <c r="K19" s="1"/>
      <c r="L19" s="1"/>
      <c r="M19" s="1"/>
      <c r="N19" s="1"/>
    </row>
    <row r="20" spans="1:14" x14ac:dyDescent="0.25">
      <c r="A20" s="6">
        <v>44774</v>
      </c>
      <c r="B20" s="1">
        <f t="shared" si="1"/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6">
        <v>44805</v>
      </c>
      <c r="B21" s="1">
        <f t="shared" si="1"/>
        <v>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6">
        <v>44835</v>
      </c>
      <c r="B22" s="1">
        <f t="shared" si="1"/>
        <v>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6">
        <v>44866</v>
      </c>
      <c r="B23" s="1">
        <f t="shared" si="1"/>
        <v>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6">
        <v>44896</v>
      </c>
      <c r="B24" s="1">
        <f t="shared" si="1"/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6">
        <v>44927</v>
      </c>
      <c r="B25" s="1">
        <f t="shared" si="1"/>
        <v>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45" x14ac:dyDescent="0.25">
      <c r="A27" s="4" t="s">
        <v>10</v>
      </c>
      <c r="B27" s="1">
        <f>SUM(B9:B26)</f>
        <v>-1279514.02</v>
      </c>
      <c r="C27" s="1"/>
      <c r="D27" s="1">
        <f t="shared" ref="D27:N27" si="2">SUM(D9:D26)</f>
        <v>-442495</v>
      </c>
      <c r="E27" s="1">
        <f t="shared" si="2"/>
        <v>-315675.41000000003</v>
      </c>
      <c r="F27" s="1">
        <f t="shared" si="2"/>
        <v>-138397.71</v>
      </c>
      <c r="G27" s="1">
        <f t="shared" si="2"/>
        <v>-300000</v>
      </c>
      <c r="H27" s="1">
        <f t="shared" si="2"/>
        <v>-56067</v>
      </c>
      <c r="I27" s="1">
        <f t="shared" si="2"/>
        <v>-1390.9</v>
      </c>
      <c r="J27" s="1">
        <f t="shared" si="2"/>
        <v>-23808</v>
      </c>
      <c r="K27" s="1">
        <f t="shared" si="2"/>
        <v>0</v>
      </c>
      <c r="L27" s="1">
        <f t="shared" si="2"/>
        <v>0</v>
      </c>
      <c r="M27" s="1">
        <f t="shared" si="2"/>
        <v>-1680</v>
      </c>
      <c r="N27" s="1">
        <f t="shared" si="2"/>
        <v>0</v>
      </c>
    </row>
    <row r="28" spans="1:14" x14ac:dyDescent="0.25">
      <c r="B28" s="1">
        <f>SUM(D27:N27)</f>
        <v>-1279514.02</v>
      </c>
      <c r="C28" t="s">
        <v>11</v>
      </c>
    </row>
    <row r="30" spans="1:14" ht="30" x14ac:dyDescent="0.25">
      <c r="A30" s="4" t="s">
        <v>12</v>
      </c>
      <c r="B30" s="1">
        <f>+B7+B27</f>
        <v>2105605.98</v>
      </c>
      <c r="D30" s="1">
        <f t="shared" ref="D30:N30" si="3">+D7+D27</f>
        <v>457505</v>
      </c>
      <c r="E30" s="1">
        <f t="shared" si="3"/>
        <v>334324.58999999997</v>
      </c>
      <c r="F30" s="1">
        <f t="shared" si="3"/>
        <v>31602.290000000008</v>
      </c>
      <c r="G30" s="1">
        <f t="shared" si="3"/>
        <v>150000</v>
      </c>
      <c r="H30" s="1">
        <f t="shared" si="3"/>
        <v>0</v>
      </c>
      <c r="I30" s="1">
        <f t="shared" si="3"/>
        <v>243478.1</v>
      </c>
      <c r="J30" s="1">
        <f t="shared" si="3"/>
        <v>496192</v>
      </c>
      <c r="K30" s="1">
        <f t="shared" si="3"/>
        <v>18000</v>
      </c>
      <c r="L30" s="1">
        <f t="shared" si="3"/>
        <v>200000</v>
      </c>
      <c r="M30" s="1">
        <f t="shared" si="3"/>
        <v>7320</v>
      </c>
      <c r="N30" s="1">
        <f t="shared" si="3"/>
        <v>167184</v>
      </c>
    </row>
    <row r="31" spans="1:14" x14ac:dyDescent="0.25">
      <c r="B31" s="1">
        <f>SUM(D30:N30)</f>
        <v>2105605.98</v>
      </c>
      <c r="C31" t="s">
        <v>11</v>
      </c>
    </row>
  </sheetData>
  <printOptions gridLines="1"/>
  <pageMargins left="0.7" right="0.7" top="0.75" bottom="0.75" header="0.3" footer="0.3"/>
  <pageSetup scale="76" orientation="landscape" r:id="rId1"/>
  <headerFooter>
    <oddFooter>&amp;L&amp;Z&amp;F&amp;R&amp;D&amp;T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C77FD-16A6-47F8-AA89-03607A6DD975}">
  <sheetPr>
    <pageSetUpPr fitToPage="1"/>
  </sheetPr>
  <dimension ref="A1:N31"/>
  <sheetViews>
    <sheetView zoomScaleNormal="100" workbookViewId="0">
      <selection activeCell="N7" sqref="N7"/>
    </sheetView>
  </sheetViews>
  <sheetFormatPr defaultRowHeight="15" x14ac:dyDescent="0.25"/>
  <cols>
    <col min="2" max="2" width="12.7109375" customWidth="1"/>
    <col min="4" max="4" width="9" bestFit="1" customWidth="1"/>
    <col min="5" max="5" width="10.28515625" customWidth="1"/>
    <col min="6" max="6" width="11.85546875" customWidth="1"/>
    <col min="7" max="7" width="13.5703125" customWidth="1"/>
    <col min="8" max="8" width="14.5703125" customWidth="1"/>
    <col min="9" max="9" width="11.5703125" bestFit="1" customWidth="1"/>
    <col min="10" max="10" width="14.28515625" customWidth="1"/>
    <col min="11" max="11" width="9.7109375" customWidth="1"/>
    <col min="12" max="12" width="14.42578125" customWidth="1"/>
    <col min="13" max="13" width="10.85546875" customWidth="1"/>
    <col min="14" max="14" width="10.5703125" bestFit="1" customWidth="1"/>
  </cols>
  <sheetData>
    <row r="1" spans="1:14" ht="26.25" x14ac:dyDescent="0.4">
      <c r="B1" s="2" t="s">
        <v>0</v>
      </c>
      <c r="C1" s="2"/>
      <c r="D1" s="2"/>
      <c r="E1" s="2"/>
      <c r="F1" s="2"/>
      <c r="M1" t="s">
        <v>15</v>
      </c>
      <c r="N1" s="8">
        <v>44902</v>
      </c>
    </row>
    <row r="2" spans="1:14" ht="26.25" x14ac:dyDescent="0.4">
      <c r="B2" s="2" t="s">
        <v>1</v>
      </c>
      <c r="C2" s="2"/>
      <c r="D2" s="2"/>
      <c r="E2" s="2"/>
      <c r="F2" s="2"/>
    </row>
    <row r="3" spans="1:14" ht="26.25" x14ac:dyDescent="0.4">
      <c r="B3" s="2"/>
      <c r="C3" s="2"/>
      <c r="D3" s="2"/>
      <c r="E3" s="2"/>
      <c r="F3" s="2"/>
    </row>
    <row r="4" spans="1:14" ht="26.45" customHeight="1" x14ac:dyDescent="0.25">
      <c r="A4" s="7" t="s">
        <v>8</v>
      </c>
      <c r="B4" s="3" t="s">
        <v>2</v>
      </c>
      <c r="C4" s="3" t="s">
        <v>7</v>
      </c>
      <c r="D4" s="3" t="s">
        <v>17</v>
      </c>
      <c r="E4" s="3" t="s">
        <v>18</v>
      </c>
      <c r="F4" s="3" t="s">
        <v>19</v>
      </c>
      <c r="G4" s="3" t="s">
        <v>25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24</v>
      </c>
    </row>
    <row r="5" spans="1:14" ht="58.15" customHeight="1" x14ac:dyDescent="0.25">
      <c r="D5" s="5" t="s">
        <v>3</v>
      </c>
      <c r="E5" s="5" t="s">
        <v>4</v>
      </c>
      <c r="F5" s="5" t="s">
        <v>14</v>
      </c>
      <c r="G5" s="5" t="s">
        <v>30</v>
      </c>
      <c r="H5" s="5" t="s">
        <v>32</v>
      </c>
      <c r="I5" s="5" t="s">
        <v>28</v>
      </c>
      <c r="J5" s="5" t="s">
        <v>13</v>
      </c>
      <c r="K5" s="5" t="s">
        <v>29</v>
      </c>
      <c r="L5" s="5" t="s">
        <v>16</v>
      </c>
      <c r="M5" s="5" t="s">
        <v>9</v>
      </c>
      <c r="N5" s="5" t="s">
        <v>6</v>
      </c>
    </row>
    <row r="6" spans="1:14" ht="33.6" customHeight="1" x14ac:dyDescent="0.25">
      <c r="D6" s="4"/>
      <c r="E6" s="4"/>
      <c r="F6" s="4"/>
      <c r="G6" s="4" t="s">
        <v>33</v>
      </c>
      <c r="H6" s="4" t="s">
        <v>34</v>
      </c>
      <c r="I6" s="4"/>
      <c r="J6" s="4"/>
      <c r="K6" s="4"/>
      <c r="L6" s="4"/>
      <c r="M6" s="4"/>
      <c r="N6" s="4"/>
    </row>
    <row r="7" spans="1:14" x14ac:dyDescent="0.25">
      <c r="B7" s="1">
        <v>3385120</v>
      </c>
      <c r="C7" s="1"/>
      <c r="D7" s="1">
        <v>900000</v>
      </c>
      <c r="E7" s="1">
        <v>650000</v>
      </c>
      <c r="F7" s="1">
        <f>161000+9000</f>
        <v>170000</v>
      </c>
      <c r="G7" s="1">
        <f>300000+150000</f>
        <v>450000</v>
      </c>
      <c r="H7" s="1">
        <f>4000+34000+18067</f>
        <v>56067</v>
      </c>
      <c r="I7" s="1">
        <v>244869</v>
      </c>
      <c r="J7" s="1">
        <v>520000</v>
      </c>
      <c r="K7" s="1">
        <v>8000</v>
      </c>
      <c r="L7" s="1">
        <v>200000</v>
      </c>
      <c r="M7" s="1">
        <v>9000</v>
      </c>
      <c r="N7" s="1">
        <f>+B7-L7-K7-J7-I7-H7-G7-F7-E7-D7-M7</f>
        <v>177184</v>
      </c>
    </row>
    <row r="8" spans="1:14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6">
        <v>44440</v>
      </c>
      <c r="B9" s="1">
        <f t="shared" ref="B9:B11" si="0">SUM(D9:N9)</f>
        <v>-7000</v>
      </c>
      <c r="C9" s="1"/>
      <c r="D9" s="1"/>
      <c r="E9" s="1"/>
      <c r="F9" s="1"/>
      <c r="G9" s="1"/>
      <c r="H9" s="1"/>
      <c r="I9" s="1"/>
      <c r="J9" s="1">
        <v>-7000</v>
      </c>
      <c r="K9" s="1"/>
      <c r="L9" s="1"/>
      <c r="M9" s="1"/>
      <c r="N9" s="1"/>
    </row>
    <row r="10" spans="1:14" x14ac:dyDescent="0.25">
      <c r="A10" s="6">
        <v>44470</v>
      </c>
      <c r="B10" s="1">
        <f t="shared" si="0"/>
        <v>-44000</v>
      </c>
      <c r="C10" s="1"/>
      <c r="D10" s="1"/>
      <c r="E10" s="1"/>
      <c r="F10" s="1"/>
      <c r="G10" s="1"/>
      <c r="H10" s="1">
        <v>-38000</v>
      </c>
      <c r="I10" s="1"/>
      <c r="J10" s="1">
        <v>-6000</v>
      </c>
      <c r="K10" s="1"/>
      <c r="L10" s="1"/>
      <c r="M10" s="1"/>
      <c r="N10" s="1"/>
    </row>
    <row r="11" spans="1:14" x14ac:dyDescent="0.25">
      <c r="A11" s="6">
        <v>44501</v>
      </c>
      <c r="B11" s="1">
        <f t="shared" si="0"/>
        <v>-5000</v>
      </c>
      <c r="C11" s="1"/>
      <c r="D11" s="1"/>
      <c r="E11" s="1"/>
      <c r="F11" s="1"/>
      <c r="G11" s="1"/>
      <c r="H11" s="1"/>
      <c r="I11" s="1"/>
      <c r="J11" s="1">
        <v>-5000</v>
      </c>
      <c r="K11" s="1"/>
      <c r="L11" s="1"/>
      <c r="M11" s="1"/>
      <c r="N11" s="1"/>
    </row>
    <row r="12" spans="1:14" x14ac:dyDescent="0.25">
      <c r="A12" s="6">
        <v>44531</v>
      </c>
      <c r="B12" s="1">
        <f>SUM(D12:N12)</f>
        <v>-584332.71</v>
      </c>
      <c r="C12" s="1"/>
      <c r="D12" s="1">
        <v>-442495</v>
      </c>
      <c r="E12" s="1"/>
      <c r="F12" s="1">
        <f>-50218.4-88179.31</f>
        <v>-138397.71</v>
      </c>
      <c r="G12" s="1"/>
      <c r="H12" s="1"/>
      <c r="I12" s="1"/>
      <c r="J12" s="1">
        <v>-2000</v>
      </c>
      <c r="K12" s="1"/>
      <c r="L12" s="1"/>
      <c r="M12" s="1">
        <v>-1440</v>
      </c>
      <c r="N12" s="1"/>
    </row>
    <row r="13" spans="1:14" x14ac:dyDescent="0.25">
      <c r="A13" s="6">
        <v>44562</v>
      </c>
      <c r="B13" s="1">
        <f t="shared" ref="B13:B25" si="1">SUM(D13:N13)</f>
        <v>-80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v>-80</v>
      </c>
      <c r="N13" s="1"/>
    </row>
    <row r="14" spans="1:14" x14ac:dyDescent="0.25">
      <c r="A14" s="6">
        <v>44593</v>
      </c>
      <c r="B14" s="1">
        <f t="shared" si="1"/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6">
        <v>44621</v>
      </c>
      <c r="B15" s="1">
        <f t="shared" si="1"/>
        <v>-80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v>-80</v>
      </c>
      <c r="N15" s="1"/>
    </row>
    <row r="16" spans="1:14" x14ac:dyDescent="0.25">
      <c r="A16" s="6">
        <v>44652</v>
      </c>
      <c r="B16" s="1">
        <f t="shared" si="1"/>
        <v>-39375.410000000003</v>
      </c>
      <c r="C16" s="1"/>
      <c r="D16" s="1"/>
      <c r="E16" s="1">
        <f>-1400-37895.41</f>
        <v>-39295.410000000003</v>
      </c>
      <c r="F16" s="1"/>
      <c r="G16" s="1"/>
      <c r="H16" s="1"/>
      <c r="I16" s="1"/>
      <c r="J16" s="1"/>
      <c r="K16" s="1"/>
      <c r="L16" s="1"/>
      <c r="M16" s="1">
        <v>-80</v>
      </c>
      <c r="N16" s="1"/>
    </row>
    <row r="17" spans="1:14" x14ac:dyDescent="0.25">
      <c r="A17" s="6">
        <v>44682</v>
      </c>
      <c r="B17" s="1">
        <f t="shared" si="1"/>
        <v>-18067</v>
      </c>
      <c r="C17" s="1"/>
      <c r="D17" s="1"/>
      <c r="E17" s="1"/>
      <c r="F17" s="1"/>
      <c r="G17" s="1"/>
      <c r="H17" s="1">
        <v>-18067</v>
      </c>
      <c r="I17" s="1"/>
      <c r="J17" s="1"/>
      <c r="K17" s="1"/>
      <c r="L17" s="1"/>
      <c r="M17" s="1"/>
      <c r="N17" s="1"/>
    </row>
    <row r="18" spans="1:14" x14ac:dyDescent="0.25">
      <c r="A18" s="6">
        <v>44713</v>
      </c>
      <c r="B18" s="1">
        <f t="shared" si="1"/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6">
        <v>44743</v>
      </c>
      <c r="B19" s="1">
        <f t="shared" si="1"/>
        <v>-581578.9</v>
      </c>
      <c r="C19" s="1"/>
      <c r="D19" s="1"/>
      <c r="E19" s="1">
        <v>-276380</v>
      </c>
      <c r="F19" s="1"/>
      <c r="G19" s="1">
        <v>-300000</v>
      </c>
      <c r="H19" s="1"/>
      <c r="I19" s="1">
        <v>-1390.9</v>
      </c>
      <c r="J19" s="1">
        <v>-3808</v>
      </c>
      <c r="K19" s="1"/>
      <c r="L19" s="1"/>
      <c r="M19" s="1"/>
      <c r="N19" s="1"/>
    </row>
    <row r="20" spans="1:14" x14ac:dyDescent="0.25">
      <c r="A20" s="6">
        <v>44774</v>
      </c>
      <c r="B20" s="1">
        <f t="shared" si="1"/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6">
        <v>44805</v>
      </c>
      <c r="B21" s="1">
        <f t="shared" si="1"/>
        <v>-476204.7</v>
      </c>
      <c r="C21" s="1"/>
      <c r="D21" s="1">
        <v>-457505</v>
      </c>
      <c r="E21" s="1"/>
      <c r="F21" s="1">
        <v>-9000</v>
      </c>
      <c r="G21" s="1"/>
      <c r="H21" s="1"/>
      <c r="I21" s="1">
        <v>-4478.7</v>
      </c>
      <c r="J21" s="1"/>
      <c r="K21" s="1"/>
      <c r="L21" s="1">
        <v>-5221</v>
      </c>
      <c r="M21" s="1"/>
      <c r="N21" s="1"/>
    </row>
    <row r="22" spans="1:14" x14ac:dyDescent="0.25">
      <c r="A22" s="6">
        <v>44835</v>
      </c>
      <c r="B22" s="1">
        <f t="shared" si="1"/>
        <v>-8000</v>
      </c>
      <c r="C22" s="1"/>
      <c r="D22" s="1"/>
      <c r="E22" s="1"/>
      <c r="F22" s="1"/>
      <c r="G22" s="1"/>
      <c r="H22" s="1"/>
      <c r="I22" s="1"/>
      <c r="J22" s="1"/>
      <c r="K22" s="1">
        <v>-8000</v>
      </c>
      <c r="L22" s="1"/>
      <c r="M22" s="1"/>
      <c r="N22" s="1"/>
    </row>
    <row r="23" spans="1:14" x14ac:dyDescent="0.25">
      <c r="A23" s="6">
        <v>44866</v>
      </c>
      <c r="B23" s="1">
        <f t="shared" si="1"/>
        <v>-169018.86</v>
      </c>
      <c r="C23" s="1"/>
      <c r="D23" s="1"/>
      <c r="E23" s="1">
        <v>-106566.26</v>
      </c>
      <c r="F23" s="1"/>
      <c r="G23" s="1"/>
      <c r="H23" s="1"/>
      <c r="I23" s="1">
        <f>-1669.08-3588.52</f>
        <v>-5257.6</v>
      </c>
      <c r="J23" s="1"/>
      <c r="K23" s="1"/>
      <c r="L23" s="1">
        <f>-41466-15729</f>
        <v>-57195</v>
      </c>
      <c r="M23" s="1"/>
      <c r="N23" s="1"/>
    </row>
    <row r="24" spans="1:14" x14ac:dyDescent="0.25">
      <c r="A24" s="6">
        <v>44896</v>
      </c>
      <c r="B24" s="1">
        <f t="shared" si="1"/>
        <v>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6">
        <v>44927</v>
      </c>
      <c r="B25" s="1">
        <f t="shared" si="1"/>
        <v>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45" x14ac:dyDescent="0.25">
      <c r="A27" s="4" t="s">
        <v>10</v>
      </c>
      <c r="B27" s="1">
        <f>SUM(B9:B26)</f>
        <v>-1932737.58</v>
      </c>
      <c r="C27" s="1"/>
      <c r="D27" s="1">
        <f t="shared" ref="D27:N27" si="2">SUM(D9:D26)</f>
        <v>-900000</v>
      </c>
      <c r="E27" s="1">
        <f t="shared" si="2"/>
        <v>-422241.67000000004</v>
      </c>
      <c r="F27" s="1">
        <f t="shared" si="2"/>
        <v>-147397.71</v>
      </c>
      <c r="G27" s="1">
        <f t="shared" si="2"/>
        <v>-300000</v>
      </c>
      <c r="H27" s="1">
        <f t="shared" si="2"/>
        <v>-56067</v>
      </c>
      <c r="I27" s="1">
        <f t="shared" si="2"/>
        <v>-11127.2</v>
      </c>
      <c r="J27" s="1">
        <f t="shared" si="2"/>
        <v>-23808</v>
      </c>
      <c r="K27" s="1">
        <f t="shared" si="2"/>
        <v>-8000</v>
      </c>
      <c r="L27" s="1">
        <f t="shared" si="2"/>
        <v>-62416</v>
      </c>
      <c r="M27" s="1">
        <f t="shared" si="2"/>
        <v>-1680</v>
      </c>
      <c r="N27" s="1">
        <f t="shared" si="2"/>
        <v>0</v>
      </c>
    </row>
    <row r="28" spans="1:14" x14ac:dyDescent="0.25">
      <c r="B28" s="1">
        <f>SUM(D27:N27)</f>
        <v>-1932737.5799999998</v>
      </c>
      <c r="C28" t="s">
        <v>11</v>
      </c>
    </row>
    <row r="30" spans="1:14" ht="30" x14ac:dyDescent="0.25">
      <c r="A30" s="4" t="s">
        <v>12</v>
      </c>
      <c r="B30" s="1">
        <f>+B7+B27</f>
        <v>1452382.42</v>
      </c>
      <c r="D30" s="1">
        <f t="shared" ref="D30:N30" si="3">+D7+D27</f>
        <v>0</v>
      </c>
      <c r="E30" s="1">
        <f t="shared" si="3"/>
        <v>227758.32999999996</v>
      </c>
      <c r="F30" s="1">
        <f t="shared" si="3"/>
        <v>22602.290000000008</v>
      </c>
      <c r="G30" s="1">
        <f t="shared" si="3"/>
        <v>150000</v>
      </c>
      <c r="H30" s="1">
        <f t="shared" si="3"/>
        <v>0</v>
      </c>
      <c r="I30" s="1">
        <f t="shared" si="3"/>
        <v>233741.8</v>
      </c>
      <c r="J30" s="1">
        <f t="shared" si="3"/>
        <v>496192</v>
      </c>
      <c r="K30" s="1">
        <f t="shared" si="3"/>
        <v>0</v>
      </c>
      <c r="L30" s="1">
        <f t="shared" si="3"/>
        <v>137584</v>
      </c>
      <c r="M30" s="1">
        <f t="shared" si="3"/>
        <v>7320</v>
      </c>
      <c r="N30" s="1">
        <f t="shared" si="3"/>
        <v>177184</v>
      </c>
    </row>
    <row r="31" spans="1:14" x14ac:dyDescent="0.25">
      <c r="B31" s="1">
        <f>SUM(D30:N30)</f>
        <v>1452382.42</v>
      </c>
      <c r="C31" t="s">
        <v>11</v>
      </c>
    </row>
  </sheetData>
  <printOptions gridLines="1"/>
  <pageMargins left="0.7" right="0.7" top="0.75" bottom="0.75" header="0.3" footer="0.3"/>
  <pageSetup scale="76" orientation="landscape" r:id="rId1"/>
  <headerFooter>
    <oddFooter>&amp;L&amp;Z&amp;F&amp;R&amp;D&amp;T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DDD5D-0222-4C2D-A75B-B9F0993DC440}">
  <sheetPr>
    <pageSetUpPr fitToPage="1"/>
  </sheetPr>
  <dimension ref="A1:O37"/>
  <sheetViews>
    <sheetView topLeftCell="A16" zoomScaleNormal="100" workbookViewId="0">
      <selection activeCell="I28" sqref="I28"/>
    </sheetView>
  </sheetViews>
  <sheetFormatPr defaultRowHeight="15" x14ac:dyDescent="0.25"/>
  <cols>
    <col min="2" max="2" width="12.7109375" customWidth="1"/>
    <col min="4" max="4" width="9" bestFit="1" customWidth="1"/>
    <col min="5" max="5" width="10.28515625" customWidth="1"/>
    <col min="6" max="6" width="11.85546875" customWidth="1"/>
    <col min="7" max="7" width="13.5703125" customWidth="1"/>
    <col min="8" max="8" width="14.5703125" customWidth="1"/>
    <col min="9" max="9" width="11.5703125" bestFit="1" customWidth="1"/>
    <col min="10" max="10" width="14.28515625" customWidth="1"/>
    <col min="11" max="11" width="9.7109375" customWidth="1"/>
    <col min="12" max="13" width="14.42578125" customWidth="1"/>
    <col min="14" max="14" width="10.85546875" customWidth="1"/>
    <col min="15" max="15" width="10.5703125" bestFit="1" customWidth="1"/>
  </cols>
  <sheetData>
    <row r="1" spans="1:15" ht="26.25" x14ac:dyDescent="0.4">
      <c r="B1" s="2" t="s">
        <v>0</v>
      </c>
      <c r="C1" s="2"/>
      <c r="D1" s="2"/>
      <c r="E1" s="2"/>
      <c r="F1" s="2"/>
      <c r="N1" t="s">
        <v>15</v>
      </c>
      <c r="O1" s="8">
        <v>44970</v>
      </c>
    </row>
    <row r="2" spans="1:15" ht="26.25" x14ac:dyDescent="0.4">
      <c r="B2" s="2" t="s">
        <v>1</v>
      </c>
      <c r="C2" s="2"/>
      <c r="D2" s="2"/>
      <c r="E2" s="2"/>
      <c r="F2" s="2"/>
    </row>
    <row r="3" spans="1:15" ht="26.25" x14ac:dyDescent="0.4">
      <c r="B3" s="2"/>
      <c r="C3" s="2"/>
      <c r="D3" s="2"/>
      <c r="E3" s="2"/>
      <c r="F3" s="2"/>
    </row>
    <row r="4" spans="1:15" ht="26.45" customHeight="1" x14ac:dyDescent="0.25">
      <c r="A4" s="7" t="s">
        <v>8</v>
      </c>
      <c r="B4" s="3" t="s">
        <v>2</v>
      </c>
      <c r="C4" s="3" t="s">
        <v>7</v>
      </c>
      <c r="D4" s="3">
        <v>124</v>
      </c>
      <c r="E4" s="3" t="s">
        <v>18</v>
      </c>
      <c r="F4" s="3" t="s">
        <v>19</v>
      </c>
      <c r="G4" s="3" t="s">
        <v>25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17</v>
      </c>
      <c r="N4" s="3" t="s">
        <v>24</v>
      </c>
    </row>
    <row r="5" spans="1:15" ht="58.15" customHeight="1" x14ac:dyDescent="0.25">
      <c r="D5" s="5" t="s">
        <v>3</v>
      </c>
      <c r="E5" s="5" t="s">
        <v>4</v>
      </c>
      <c r="F5" s="5" t="s">
        <v>14</v>
      </c>
      <c r="G5" s="5" t="s">
        <v>30</v>
      </c>
      <c r="H5" s="5" t="s">
        <v>32</v>
      </c>
      <c r="I5" s="5" t="s">
        <v>28</v>
      </c>
      <c r="J5" s="5" t="s">
        <v>39</v>
      </c>
      <c r="K5" s="5" t="s">
        <v>29</v>
      </c>
      <c r="L5" s="5" t="s">
        <v>16</v>
      </c>
      <c r="M5" s="5" t="s">
        <v>35</v>
      </c>
      <c r="N5" s="5" t="s">
        <v>36</v>
      </c>
      <c r="O5" s="5" t="s">
        <v>6</v>
      </c>
    </row>
    <row r="6" spans="1:15" ht="33.6" customHeight="1" x14ac:dyDescent="0.25">
      <c r="D6" s="4"/>
      <c r="E6" s="4"/>
      <c r="F6" s="4"/>
      <c r="G6" s="4" t="s">
        <v>33</v>
      </c>
      <c r="H6" s="4" t="s">
        <v>34</v>
      </c>
      <c r="I6" s="4"/>
      <c r="J6" s="4"/>
      <c r="K6" s="4"/>
      <c r="L6" s="4"/>
      <c r="M6" s="4"/>
      <c r="N6" s="4"/>
      <c r="O6" s="4"/>
    </row>
    <row r="7" spans="1:15" x14ac:dyDescent="0.25">
      <c r="B7" s="1">
        <v>3385120</v>
      </c>
      <c r="C7" s="1"/>
      <c r="D7" s="1">
        <v>900000</v>
      </c>
      <c r="E7" s="1">
        <v>650000</v>
      </c>
      <c r="F7" s="1">
        <f>161000+9000</f>
        <v>170000</v>
      </c>
      <c r="G7" s="1">
        <f>300000+150000</f>
        <v>450000</v>
      </c>
      <c r="H7" s="1">
        <f>4000+34000+18067</f>
        <v>56067</v>
      </c>
      <c r="I7" s="1">
        <v>244869</v>
      </c>
      <c r="J7" s="1">
        <v>520000</v>
      </c>
      <c r="K7" s="1">
        <v>8000</v>
      </c>
      <c r="L7" s="1">
        <v>200000</v>
      </c>
      <c r="M7" s="1">
        <v>150000</v>
      </c>
      <c r="N7" s="1">
        <f>9000+20000</f>
        <v>29000</v>
      </c>
      <c r="O7" s="1">
        <f>+B7-L7-K7-J7-I7-H7-G7-F7-E7-D7-N7-M7</f>
        <v>7184</v>
      </c>
    </row>
    <row r="8" spans="1:15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6">
        <v>44440</v>
      </c>
      <c r="B9" s="1">
        <f t="shared" ref="B9:B11" si="0">SUM(D9:O9)</f>
        <v>-7000</v>
      </c>
      <c r="C9" s="1"/>
      <c r="D9" s="1"/>
      <c r="E9" s="1"/>
      <c r="F9" s="1"/>
      <c r="G9" s="1"/>
      <c r="H9" s="1"/>
      <c r="I9" s="1"/>
      <c r="J9" s="1">
        <v>-7000</v>
      </c>
      <c r="K9" s="1"/>
      <c r="L9" s="1"/>
      <c r="M9" s="1"/>
      <c r="N9" s="1"/>
      <c r="O9" s="1"/>
    </row>
    <row r="10" spans="1:15" x14ac:dyDescent="0.25">
      <c r="A10" s="6">
        <v>44470</v>
      </c>
      <c r="B10" s="1">
        <f t="shared" si="0"/>
        <v>-44000</v>
      </c>
      <c r="C10" s="1"/>
      <c r="D10" s="1"/>
      <c r="E10" s="1"/>
      <c r="F10" s="1"/>
      <c r="G10" s="1"/>
      <c r="H10" s="1">
        <v>-38000</v>
      </c>
      <c r="I10" s="1"/>
      <c r="J10" s="1">
        <v>-6000</v>
      </c>
      <c r="K10" s="1"/>
      <c r="L10" s="1"/>
      <c r="M10" s="1"/>
      <c r="N10" s="1"/>
      <c r="O10" s="1"/>
    </row>
    <row r="11" spans="1:15" x14ac:dyDescent="0.25">
      <c r="A11" s="6">
        <v>44501</v>
      </c>
      <c r="B11" s="1">
        <f t="shared" si="0"/>
        <v>-5000</v>
      </c>
      <c r="C11" s="1"/>
      <c r="D11" s="1"/>
      <c r="E11" s="1"/>
      <c r="F11" s="1"/>
      <c r="G11" s="1"/>
      <c r="H11" s="1"/>
      <c r="I11" s="1"/>
      <c r="J11" s="1">
        <v>-5000</v>
      </c>
      <c r="K11" s="1"/>
      <c r="L11" s="1"/>
      <c r="M11" s="1"/>
      <c r="N11" s="1"/>
      <c r="O11" s="1"/>
    </row>
    <row r="12" spans="1:15" x14ac:dyDescent="0.25">
      <c r="A12" s="6">
        <v>44531</v>
      </c>
      <c r="B12" s="1">
        <f>SUM(D12:O12)</f>
        <v>-584332.71</v>
      </c>
      <c r="C12" s="1"/>
      <c r="D12" s="1">
        <v>-442495</v>
      </c>
      <c r="E12" s="1"/>
      <c r="F12" s="1">
        <f>-50218.4-88179.31</f>
        <v>-138397.71</v>
      </c>
      <c r="G12" s="1"/>
      <c r="H12" s="1"/>
      <c r="I12" s="1"/>
      <c r="J12" s="1">
        <v>-2000</v>
      </c>
      <c r="K12" s="1"/>
      <c r="L12" s="1"/>
      <c r="M12" s="1"/>
      <c r="N12" s="1">
        <v>-1440</v>
      </c>
      <c r="O12" s="1"/>
    </row>
    <row r="13" spans="1:15" x14ac:dyDescent="0.25">
      <c r="A13" s="6">
        <v>44562</v>
      </c>
      <c r="B13" s="1">
        <f t="shared" ref="B13:B27" si="1">SUM(D13:O13)</f>
        <v>-80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v>-80</v>
      </c>
      <c r="O13" s="1"/>
    </row>
    <row r="14" spans="1:15" x14ac:dyDescent="0.25">
      <c r="A14" s="6">
        <v>44593</v>
      </c>
      <c r="B14" s="1">
        <f t="shared" si="1"/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6">
        <v>44621</v>
      </c>
      <c r="B15" s="1">
        <f t="shared" si="1"/>
        <v>-80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v>-80</v>
      </c>
      <c r="O15" s="1"/>
    </row>
    <row r="16" spans="1:15" x14ac:dyDescent="0.25">
      <c r="A16" s="6">
        <v>44652</v>
      </c>
      <c r="B16" s="1">
        <f t="shared" si="1"/>
        <v>-39375.410000000003</v>
      </c>
      <c r="C16" s="1"/>
      <c r="D16" s="1"/>
      <c r="E16" s="1">
        <f>-1400-37895.41</f>
        <v>-39295.410000000003</v>
      </c>
      <c r="F16" s="1"/>
      <c r="G16" s="1"/>
      <c r="H16" s="1"/>
      <c r="I16" s="1"/>
      <c r="J16" s="1"/>
      <c r="K16" s="1"/>
      <c r="L16" s="1"/>
      <c r="M16" s="1"/>
      <c r="N16" s="1">
        <v>-80</v>
      </c>
      <c r="O16" s="1"/>
    </row>
    <row r="17" spans="1:15" x14ac:dyDescent="0.25">
      <c r="A17" s="6">
        <v>44682</v>
      </c>
      <c r="B17" s="1">
        <f t="shared" si="1"/>
        <v>-18067</v>
      </c>
      <c r="C17" s="1"/>
      <c r="D17" s="1"/>
      <c r="E17" s="1"/>
      <c r="F17" s="1"/>
      <c r="G17" s="1"/>
      <c r="H17" s="1">
        <v>-18067</v>
      </c>
      <c r="I17" s="1"/>
      <c r="J17" s="1"/>
      <c r="K17" s="1"/>
      <c r="L17" s="1"/>
      <c r="M17" s="1"/>
      <c r="N17" s="1"/>
      <c r="O17" s="1"/>
    </row>
    <row r="18" spans="1:15" x14ac:dyDescent="0.25">
      <c r="A18" s="6">
        <v>44713</v>
      </c>
      <c r="B18" s="1">
        <f t="shared" si="1"/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6">
        <v>44743</v>
      </c>
      <c r="B19" s="1">
        <f t="shared" si="1"/>
        <v>-581578.9</v>
      </c>
      <c r="C19" s="1"/>
      <c r="D19" s="1"/>
      <c r="E19" s="1">
        <f>-90558.76-185821.24</f>
        <v>-276380</v>
      </c>
      <c r="F19" s="1"/>
      <c r="G19" s="1">
        <v>-300000</v>
      </c>
      <c r="H19" s="1"/>
      <c r="I19" s="1">
        <v>-1390.9</v>
      </c>
      <c r="J19" s="1">
        <v>-3808</v>
      </c>
      <c r="K19" s="1"/>
      <c r="L19" s="1"/>
      <c r="M19" s="1"/>
      <c r="N19" s="1"/>
      <c r="O19" s="1"/>
    </row>
    <row r="20" spans="1:15" x14ac:dyDescent="0.25">
      <c r="A20" s="6">
        <v>44774</v>
      </c>
      <c r="B20" s="1">
        <f t="shared" si="1"/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6">
        <v>44805</v>
      </c>
      <c r="B21" s="1">
        <f t="shared" si="1"/>
        <v>-476204.7</v>
      </c>
      <c r="C21" s="1"/>
      <c r="D21" s="1">
        <v>-457505</v>
      </c>
      <c r="E21" s="1"/>
      <c r="F21" s="1">
        <v>-9000</v>
      </c>
      <c r="G21" s="1"/>
      <c r="H21" s="1"/>
      <c r="I21" s="1">
        <v>-4478.7</v>
      </c>
      <c r="J21" s="1"/>
      <c r="K21" s="1"/>
      <c r="L21" s="1">
        <v>-5221</v>
      </c>
      <c r="M21" s="1"/>
      <c r="N21" s="1"/>
      <c r="O21" s="1"/>
    </row>
    <row r="22" spans="1:15" x14ac:dyDescent="0.25">
      <c r="A22" s="6">
        <v>44835</v>
      </c>
      <c r="B22" s="1">
        <f t="shared" si="1"/>
        <v>-107203.76</v>
      </c>
      <c r="C22" s="1"/>
      <c r="D22" s="1"/>
      <c r="E22" s="1">
        <f>-90471-8732.76</f>
        <v>-99203.76</v>
      </c>
      <c r="F22" s="1"/>
      <c r="G22" s="1"/>
      <c r="H22" s="1"/>
      <c r="I22" s="1"/>
      <c r="J22" s="1"/>
      <c r="K22" s="1">
        <v>-8000</v>
      </c>
      <c r="L22" s="1"/>
      <c r="M22" s="1"/>
      <c r="N22" s="1"/>
      <c r="O22" s="1"/>
    </row>
    <row r="23" spans="1:15" x14ac:dyDescent="0.25">
      <c r="A23" s="6">
        <v>44866</v>
      </c>
      <c r="B23" s="1">
        <f t="shared" si="1"/>
        <v>-69815.100000000006</v>
      </c>
      <c r="C23" s="1"/>
      <c r="D23" s="1"/>
      <c r="E23" s="1">
        <v>-7362.5</v>
      </c>
      <c r="F23" s="1"/>
      <c r="G23" s="1"/>
      <c r="H23" s="1"/>
      <c r="I23" s="1">
        <f>-1669.08-3588.52</f>
        <v>-5257.6</v>
      </c>
      <c r="J23" s="1"/>
      <c r="K23" s="1"/>
      <c r="L23" s="1">
        <f>-41466-15729</f>
        <v>-57195</v>
      </c>
      <c r="M23" s="1"/>
      <c r="N23" s="1"/>
      <c r="O23" s="1"/>
    </row>
    <row r="24" spans="1:15" x14ac:dyDescent="0.25">
      <c r="A24" s="6">
        <v>44896</v>
      </c>
      <c r="B24" s="1">
        <f t="shared" si="1"/>
        <v>-56123.17</v>
      </c>
      <c r="C24" s="1"/>
      <c r="D24" s="1"/>
      <c r="E24" s="1"/>
      <c r="F24" s="1"/>
      <c r="G24" s="1"/>
      <c r="H24" s="1"/>
      <c r="I24" s="1">
        <f>-9087.3-3384.87</f>
        <v>-12472.169999999998</v>
      </c>
      <c r="J24" s="1"/>
      <c r="K24" s="1"/>
      <c r="L24" s="1">
        <f>-25390-18261</f>
        <v>-43651</v>
      </c>
      <c r="M24" s="1"/>
      <c r="N24" s="1"/>
      <c r="O24" s="1"/>
    </row>
    <row r="25" spans="1:15" x14ac:dyDescent="0.25">
      <c r="A25" s="6">
        <v>44927</v>
      </c>
      <c r="B25" s="1">
        <f t="shared" si="1"/>
        <v>-13882.5</v>
      </c>
      <c r="C25" s="1"/>
      <c r="D25" s="1"/>
      <c r="E25" s="1"/>
      <c r="F25" s="1">
        <v>-6000</v>
      </c>
      <c r="G25" s="1"/>
      <c r="H25" s="1"/>
      <c r="I25" s="1">
        <v>-1500</v>
      </c>
      <c r="J25" s="1">
        <v>-382.5</v>
      </c>
      <c r="K25" s="1"/>
      <c r="L25" s="1"/>
      <c r="M25" s="1"/>
      <c r="N25" s="1">
        <v>-6000</v>
      </c>
      <c r="O25" s="1"/>
    </row>
    <row r="26" spans="1:15" x14ac:dyDescent="0.25">
      <c r="A26" s="6">
        <v>44985</v>
      </c>
      <c r="B26" s="1">
        <f t="shared" si="1"/>
        <v>-9181.1299999999992</v>
      </c>
      <c r="C26" s="1"/>
      <c r="D26" s="1"/>
      <c r="E26" s="1"/>
      <c r="F26" s="1"/>
      <c r="G26" s="1"/>
      <c r="H26" s="1"/>
      <c r="I26" s="1"/>
      <c r="J26" s="1">
        <f>-451-337.5</f>
        <v>-788.5</v>
      </c>
      <c r="K26" s="1"/>
      <c r="L26" s="1">
        <v>-8392.6299999999992</v>
      </c>
      <c r="M26" s="1"/>
      <c r="N26" s="1"/>
      <c r="O26" s="1"/>
    </row>
    <row r="27" spans="1:15" x14ac:dyDescent="0.25">
      <c r="A27" s="6">
        <v>45016</v>
      </c>
      <c r="B27" s="1">
        <f t="shared" si="1"/>
        <v>-39749.01</v>
      </c>
      <c r="C27" s="1"/>
      <c r="D27" s="1"/>
      <c r="E27" s="1"/>
      <c r="F27" s="1"/>
      <c r="G27" s="1"/>
      <c r="H27" s="1"/>
      <c r="I27" s="1">
        <f>-9922.1-8392.63-1086.4</f>
        <v>-19401.13</v>
      </c>
      <c r="J27" s="1"/>
      <c r="K27" s="1"/>
      <c r="L27" s="1">
        <v>-4573</v>
      </c>
      <c r="M27" s="1">
        <f>-774.88-15000</f>
        <v>-15774.88</v>
      </c>
      <c r="N27" s="1"/>
      <c r="O27" s="1"/>
    </row>
    <row r="28" spans="1:1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45" x14ac:dyDescent="0.25">
      <c r="A29" s="4" t="s">
        <v>10</v>
      </c>
      <c r="B29" s="1">
        <f>SUM(B9:B28)</f>
        <v>-2051673.39</v>
      </c>
      <c r="C29" s="1"/>
      <c r="D29" s="1">
        <f t="shared" ref="D29:O29" si="2">SUM(D9:D28)</f>
        <v>-900000</v>
      </c>
      <c r="E29" s="1">
        <f t="shared" si="2"/>
        <v>-422241.67000000004</v>
      </c>
      <c r="F29" s="1">
        <f t="shared" si="2"/>
        <v>-153397.71</v>
      </c>
      <c r="G29" s="1">
        <f t="shared" si="2"/>
        <v>-300000</v>
      </c>
      <c r="H29" s="1">
        <f t="shared" si="2"/>
        <v>-56067</v>
      </c>
      <c r="I29" s="1">
        <f t="shared" si="2"/>
        <v>-44500.5</v>
      </c>
      <c r="J29" s="1">
        <f t="shared" si="2"/>
        <v>-24979</v>
      </c>
      <c r="K29" s="1">
        <f t="shared" si="2"/>
        <v>-8000</v>
      </c>
      <c r="L29" s="1">
        <f t="shared" si="2"/>
        <v>-119032.63</v>
      </c>
      <c r="M29" s="1">
        <f t="shared" si="2"/>
        <v>-15774.88</v>
      </c>
      <c r="N29" s="1">
        <f t="shared" si="2"/>
        <v>-7680</v>
      </c>
      <c r="O29" s="1">
        <f t="shared" si="2"/>
        <v>0</v>
      </c>
    </row>
    <row r="30" spans="1:15" x14ac:dyDescent="0.25">
      <c r="B30" s="1">
        <f>SUM(D29:O29)</f>
        <v>-2051673.3899999997</v>
      </c>
      <c r="C30" t="s">
        <v>11</v>
      </c>
    </row>
    <row r="32" spans="1:15" ht="30" x14ac:dyDescent="0.25">
      <c r="A32" s="4" t="s">
        <v>12</v>
      </c>
      <c r="B32" s="1">
        <f>+B7+B29</f>
        <v>1333446.6100000001</v>
      </c>
      <c r="D32" s="1">
        <f t="shared" ref="D32:O32" si="3">+D7+D29</f>
        <v>0</v>
      </c>
      <c r="E32" s="1">
        <f t="shared" si="3"/>
        <v>227758.32999999996</v>
      </c>
      <c r="F32" s="1">
        <f t="shared" si="3"/>
        <v>16602.290000000008</v>
      </c>
      <c r="G32" s="1">
        <f t="shared" si="3"/>
        <v>150000</v>
      </c>
      <c r="H32" s="1">
        <f t="shared" si="3"/>
        <v>0</v>
      </c>
      <c r="I32" s="1">
        <f>+I7+I29</f>
        <v>200368.5</v>
      </c>
      <c r="J32" s="1">
        <f t="shared" si="3"/>
        <v>495021</v>
      </c>
      <c r="K32" s="1">
        <f t="shared" si="3"/>
        <v>0</v>
      </c>
      <c r="L32" s="1">
        <f t="shared" si="3"/>
        <v>80967.37</v>
      </c>
      <c r="M32" s="1">
        <f t="shared" si="3"/>
        <v>134225.12</v>
      </c>
      <c r="N32" s="1">
        <f t="shared" si="3"/>
        <v>21320</v>
      </c>
      <c r="O32" s="1">
        <f t="shared" si="3"/>
        <v>7184</v>
      </c>
    </row>
    <row r="33" spans="2:12" x14ac:dyDescent="0.25">
      <c r="B33" s="1">
        <f>SUM(D32:O32)</f>
        <v>1333446.6100000003</v>
      </c>
      <c r="C33" t="s">
        <v>11</v>
      </c>
      <c r="J33" t="s">
        <v>37</v>
      </c>
    </row>
    <row r="34" spans="2:12" x14ac:dyDescent="0.25">
      <c r="J34" t="s">
        <v>38</v>
      </c>
    </row>
    <row r="35" spans="2:12" x14ac:dyDescent="0.25">
      <c r="J35" s="1"/>
      <c r="L35" s="1"/>
    </row>
    <row r="37" spans="2:12" x14ac:dyDescent="0.25">
      <c r="G37" s="1"/>
    </row>
  </sheetData>
  <printOptions gridLines="1"/>
  <pageMargins left="0.7" right="0.7" top="0.75" bottom="0.75" header="0.3" footer="0.3"/>
  <pageSetup scale="69" orientation="landscape" r:id="rId1"/>
  <headerFooter>
    <oddFooter>&amp;L&amp;Z&amp;F&amp;R&amp;D&amp;T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DDA69-AA11-402F-89A1-0682103EE926}">
  <sheetPr>
    <pageSetUpPr fitToPage="1"/>
  </sheetPr>
  <dimension ref="A1:R37"/>
  <sheetViews>
    <sheetView zoomScaleNormal="100" workbookViewId="0">
      <selection activeCell="P2" sqref="P2"/>
    </sheetView>
  </sheetViews>
  <sheetFormatPr defaultRowHeight="15" x14ac:dyDescent="0.25"/>
  <cols>
    <col min="2" max="2" width="12.7109375" customWidth="1"/>
    <col min="4" max="4" width="9" bestFit="1" customWidth="1"/>
    <col min="5" max="5" width="10.28515625" customWidth="1"/>
    <col min="6" max="6" width="11.85546875" customWidth="1"/>
    <col min="7" max="7" width="13.5703125" customWidth="1"/>
    <col min="8" max="8" width="14.5703125" customWidth="1"/>
    <col min="9" max="9" width="11.5703125" bestFit="1" customWidth="1"/>
    <col min="10" max="10" width="14.28515625" customWidth="1"/>
    <col min="11" max="11" width="9.7109375" customWidth="1"/>
    <col min="12" max="13" width="14.42578125" customWidth="1"/>
    <col min="14" max="15" width="10.85546875" customWidth="1"/>
    <col min="16" max="16" width="10.5703125" bestFit="1" customWidth="1"/>
    <col min="17" max="17" width="10" bestFit="1" customWidth="1"/>
  </cols>
  <sheetData>
    <row r="1" spans="1:18" ht="26.25" x14ac:dyDescent="0.4">
      <c r="B1" s="2" t="s">
        <v>0</v>
      </c>
      <c r="C1" s="2"/>
      <c r="D1" s="2"/>
      <c r="E1" s="2"/>
      <c r="F1" s="2"/>
      <c r="N1" t="s">
        <v>15</v>
      </c>
      <c r="P1" s="8">
        <v>45040</v>
      </c>
    </row>
    <row r="2" spans="1:18" ht="26.25" x14ac:dyDescent="0.4">
      <c r="B2" s="2" t="s">
        <v>1</v>
      </c>
      <c r="C2" s="2"/>
      <c r="D2" s="2"/>
      <c r="E2" s="2"/>
      <c r="F2" s="2"/>
    </row>
    <row r="3" spans="1:18" ht="26.25" x14ac:dyDescent="0.4">
      <c r="B3" s="2"/>
      <c r="C3" s="2"/>
      <c r="D3" s="2"/>
      <c r="E3" s="2"/>
      <c r="F3" s="2"/>
    </row>
    <row r="4" spans="1:18" ht="26.45" customHeight="1" x14ac:dyDescent="0.25">
      <c r="A4" s="7" t="s">
        <v>8</v>
      </c>
      <c r="B4" s="3" t="s">
        <v>2</v>
      </c>
      <c r="C4" s="3" t="s">
        <v>7</v>
      </c>
      <c r="D4" s="3">
        <v>124</v>
      </c>
      <c r="E4" s="3" t="s">
        <v>18</v>
      </c>
      <c r="F4" s="3" t="s">
        <v>19</v>
      </c>
      <c r="G4" s="3" t="s">
        <v>25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17</v>
      </c>
      <c r="N4" s="3" t="s">
        <v>24</v>
      </c>
      <c r="O4" s="3"/>
    </row>
    <row r="5" spans="1:18" ht="58.15" customHeight="1" x14ac:dyDescent="0.25">
      <c r="D5" s="5" t="s">
        <v>3</v>
      </c>
      <c r="E5" s="5" t="s">
        <v>4</v>
      </c>
      <c r="F5" s="5" t="s">
        <v>14</v>
      </c>
      <c r="G5" s="5" t="s">
        <v>30</v>
      </c>
      <c r="H5" s="5" t="s">
        <v>32</v>
      </c>
      <c r="I5" s="5" t="s">
        <v>28</v>
      </c>
      <c r="J5" s="5" t="s">
        <v>39</v>
      </c>
      <c r="K5" s="5" t="s">
        <v>29</v>
      </c>
      <c r="L5" s="5" t="s">
        <v>16</v>
      </c>
      <c r="M5" s="5" t="s">
        <v>35</v>
      </c>
      <c r="N5" s="5" t="s">
        <v>36</v>
      </c>
      <c r="O5" s="5" t="s">
        <v>42</v>
      </c>
      <c r="P5" s="5" t="s">
        <v>6</v>
      </c>
    </row>
    <row r="6" spans="1:18" ht="33.6" customHeight="1" x14ac:dyDescent="0.25">
      <c r="D6" s="4"/>
      <c r="E6" s="4"/>
      <c r="F6" s="4"/>
      <c r="G6" s="4" t="s">
        <v>33</v>
      </c>
      <c r="H6" s="4" t="s">
        <v>34</v>
      </c>
      <c r="I6" s="4"/>
      <c r="J6" s="4"/>
      <c r="K6" s="4"/>
      <c r="L6" s="4"/>
      <c r="M6" s="4"/>
      <c r="N6" s="4"/>
      <c r="O6" s="4"/>
      <c r="P6" s="4"/>
    </row>
    <row r="7" spans="1:18" x14ac:dyDescent="0.25">
      <c r="B7" s="1">
        <v>3385120</v>
      </c>
      <c r="C7" s="1"/>
      <c r="D7" s="1">
        <v>900000</v>
      </c>
      <c r="E7" s="1">
        <v>650000</v>
      </c>
      <c r="F7" s="1">
        <f>161000+9000</f>
        <v>170000</v>
      </c>
      <c r="G7" s="1">
        <f>300000+150000</f>
        <v>450000</v>
      </c>
      <c r="H7" s="1">
        <f>4000+34000+18067</f>
        <v>56067</v>
      </c>
      <c r="I7" s="1">
        <v>244869</v>
      </c>
      <c r="J7" s="1">
        <f>520000-150000</f>
        <v>370000</v>
      </c>
      <c r="K7" s="1">
        <v>8000</v>
      </c>
      <c r="L7" s="1">
        <v>200000</v>
      </c>
      <c r="M7" s="1">
        <v>150000</v>
      </c>
      <c r="N7" s="1">
        <f>9000+20000</f>
        <v>29000</v>
      </c>
      <c r="O7" s="1">
        <v>150000</v>
      </c>
      <c r="P7" s="1">
        <f>+B7-L7-K7-J7-I7-H7-G7-F7-E7-D7-N7-M7-O7</f>
        <v>7184</v>
      </c>
    </row>
    <row r="8" spans="1:18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8" x14ac:dyDescent="0.25">
      <c r="A9" s="6">
        <v>44440</v>
      </c>
      <c r="B9" s="1">
        <f t="shared" ref="B9:B11" si="0">SUM(D9:P9)</f>
        <v>-7000</v>
      </c>
      <c r="C9" s="1"/>
      <c r="D9" s="1"/>
      <c r="E9" s="1"/>
      <c r="F9" s="1"/>
      <c r="G9" s="1"/>
      <c r="H9" s="1"/>
      <c r="I9" s="1"/>
      <c r="J9" s="1">
        <v>-7000</v>
      </c>
      <c r="K9" s="1"/>
      <c r="L9" s="1"/>
      <c r="M9" s="1"/>
      <c r="N9" s="1"/>
      <c r="O9" s="1"/>
      <c r="P9" s="1"/>
    </row>
    <row r="10" spans="1:18" x14ac:dyDescent="0.25">
      <c r="A10" s="6">
        <v>44470</v>
      </c>
      <c r="B10" s="1">
        <f t="shared" si="0"/>
        <v>-44000</v>
      </c>
      <c r="C10" s="1"/>
      <c r="D10" s="1"/>
      <c r="E10" s="1"/>
      <c r="F10" s="1"/>
      <c r="G10" s="1"/>
      <c r="H10" s="1">
        <v>-38000</v>
      </c>
      <c r="I10" s="1"/>
      <c r="J10" s="1">
        <v>-6000</v>
      </c>
      <c r="K10" s="1"/>
      <c r="L10" s="1"/>
      <c r="M10" s="1"/>
      <c r="N10" s="1"/>
      <c r="O10" s="1"/>
      <c r="P10" s="1"/>
    </row>
    <row r="11" spans="1:18" x14ac:dyDescent="0.25">
      <c r="A11" s="6">
        <v>44501</v>
      </c>
      <c r="B11" s="1">
        <f t="shared" si="0"/>
        <v>-5000</v>
      </c>
      <c r="C11" s="1"/>
      <c r="D11" s="1"/>
      <c r="E11" s="1"/>
      <c r="F11" s="1"/>
      <c r="G11" s="1"/>
      <c r="H11" s="1"/>
      <c r="I11" s="1"/>
      <c r="J11" s="1">
        <v>-5000</v>
      </c>
      <c r="K11" s="1"/>
      <c r="L11" s="1"/>
      <c r="M11" s="1"/>
      <c r="N11" s="1"/>
      <c r="O11" s="1"/>
      <c r="P11" s="1"/>
    </row>
    <row r="12" spans="1:18" x14ac:dyDescent="0.25">
      <c r="A12" s="6">
        <v>44531</v>
      </c>
      <c r="B12" s="1">
        <f>SUM(D12:P12)</f>
        <v>-584332.71</v>
      </c>
      <c r="C12" s="1"/>
      <c r="D12" s="1">
        <v>-442495</v>
      </c>
      <c r="E12" s="1"/>
      <c r="F12" s="1">
        <f>-50218.4-88179.31</f>
        <v>-138397.71</v>
      </c>
      <c r="G12" s="1"/>
      <c r="H12" s="1"/>
      <c r="I12" s="1"/>
      <c r="J12" s="1">
        <v>-2000</v>
      </c>
      <c r="K12" s="1"/>
      <c r="L12" s="1"/>
      <c r="M12" s="1"/>
      <c r="N12" s="1">
        <v>-1440</v>
      </c>
      <c r="O12" s="1"/>
      <c r="P12" s="1"/>
    </row>
    <row r="13" spans="1:18" x14ac:dyDescent="0.25">
      <c r="A13" s="6">
        <v>44562</v>
      </c>
      <c r="B13" s="1">
        <f t="shared" ref="B13:B27" si="1">SUM(D13:P13)</f>
        <v>-80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v>-80</v>
      </c>
      <c r="O13" s="1"/>
      <c r="P13" s="1"/>
    </row>
    <row r="14" spans="1:18" x14ac:dyDescent="0.25">
      <c r="A14" s="6">
        <v>44593</v>
      </c>
      <c r="B14" s="1">
        <f t="shared" si="1"/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x14ac:dyDescent="0.25">
      <c r="A15" s="6">
        <v>44621</v>
      </c>
      <c r="B15" s="1">
        <f t="shared" si="1"/>
        <v>-80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v>-80</v>
      </c>
      <c r="O15" s="1"/>
      <c r="P15" s="1"/>
      <c r="Q15" s="1">
        <f>SUM(D9:N15)</f>
        <v>-640492.71</v>
      </c>
      <c r="R15" t="s">
        <v>40</v>
      </c>
    </row>
    <row r="16" spans="1:18" x14ac:dyDescent="0.25">
      <c r="A16" s="6">
        <v>44652</v>
      </c>
      <c r="B16" s="1">
        <f t="shared" si="1"/>
        <v>-39375.410000000003</v>
      </c>
      <c r="C16" s="1"/>
      <c r="D16" s="1"/>
      <c r="E16" s="1">
        <f>-1400-37895.41</f>
        <v>-39295.410000000003</v>
      </c>
      <c r="F16" s="1"/>
      <c r="G16" s="1"/>
      <c r="H16" s="1"/>
      <c r="I16" s="1"/>
      <c r="J16" s="1"/>
      <c r="K16" s="1"/>
      <c r="L16" s="1"/>
      <c r="M16" s="1"/>
      <c r="N16" s="1">
        <v>-80</v>
      </c>
      <c r="O16" s="1"/>
      <c r="P16" s="1"/>
    </row>
    <row r="17" spans="1:18" x14ac:dyDescent="0.25">
      <c r="A17" s="6">
        <v>44682</v>
      </c>
      <c r="B17" s="1">
        <f t="shared" si="1"/>
        <v>-18067</v>
      </c>
      <c r="C17" s="1"/>
      <c r="D17" s="1"/>
      <c r="E17" s="1"/>
      <c r="F17" s="1"/>
      <c r="G17" s="1"/>
      <c r="H17" s="1">
        <v>-18067</v>
      </c>
      <c r="I17" s="1"/>
      <c r="J17" s="1"/>
      <c r="K17" s="1"/>
      <c r="L17" s="1"/>
      <c r="M17" s="1"/>
      <c r="N17" s="1"/>
      <c r="O17" s="1"/>
      <c r="P17" s="1"/>
    </row>
    <row r="18" spans="1:18" x14ac:dyDescent="0.25">
      <c r="A18" s="6">
        <v>44713</v>
      </c>
      <c r="B18" s="1">
        <f t="shared" si="1"/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8" x14ac:dyDescent="0.25">
      <c r="A19" s="6">
        <v>44743</v>
      </c>
      <c r="B19" s="1">
        <f t="shared" si="1"/>
        <v>-581578.9</v>
      </c>
      <c r="C19" s="1"/>
      <c r="D19" s="1"/>
      <c r="E19" s="1">
        <f>-90558.76-185821.24</f>
        <v>-276380</v>
      </c>
      <c r="F19" s="1"/>
      <c r="G19" s="1">
        <v>-300000</v>
      </c>
      <c r="H19" s="1"/>
      <c r="I19" s="1">
        <v>-1390.9</v>
      </c>
      <c r="J19" s="1">
        <v>-3808</v>
      </c>
      <c r="K19" s="1"/>
      <c r="L19" s="1"/>
      <c r="M19" s="1"/>
      <c r="N19" s="1"/>
      <c r="O19" s="1"/>
      <c r="P19" s="1"/>
    </row>
    <row r="20" spans="1:18" x14ac:dyDescent="0.25">
      <c r="A20" s="6">
        <v>44774</v>
      </c>
      <c r="B20" s="1">
        <f t="shared" si="1"/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8" x14ac:dyDescent="0.25">
      <c r="A21" s="6">
        <v>44805</v>
      </c>
      <c r="B21" s="1">
        <f t="shared" si="1"/>
        <v>-476204.7</v>
      </c>
      <c r="C21" s="1"/>
      <c r="D21" s="1">
        <v>-457505</v>
      </c>
      <c r="E21" s="1"/>
      <c r="F21" s="1">
        <v>-9000</v>
      </c>
      <c r="G21" s="1"/>
      <c r="H21" s="1"/>
      <c r="I21" s="1">
        <v>-4478.7</v>
      </c>
      <c r="J21" s="1"/>
      <c r="K21" s="1"/>
      <c r="L21" s="1">
        <v>-5221</v>
      </c>
      <c r="M21" s="1"/>
      <c r="N21" s="1"/>
      <c r="O21" s="1"/>
      <c r="P21" s="1"/>
    </row>
    <row r="22" spans="1:18" x14ac:dyDescent="0.25">
      <c r="A22" s="6">
        <v>44835</v>
      </c>
      <c r="B22" s="1">
        <f t="shared" si="1"/>
        <v>-107203.76</v>
      </c>
      <c r="C22" s="1"/>
      <c r="D22" s="1"/>
      <c r="E22" s="1">
        <f>-90471-8732.76</f>
        <v>-99203.76</v>
      </c>
      <c r="F22" s="1"/>
      <c r="G22" s="1"/>
      <c r="H22" s="1"/>
      <c r="I22" s="1"/>
      <c r="J22" s="1"/>
      <c r="K22" s="1">
        <v>-8000</v>
      </c>
      <c r="L22" s="1"/>
      <c r="M22" s="1"/>
      <c r="N22" s="1"/>
      <c r="O22" s="1"/>
      <c r="P22" s="1"/>
    </row>
    <row r="23" spans="1:18" x14ac:dyDescent="0.25">
      <c r="A23" s="6">
        <v>44866</v>
      </c>
      <c r="B23" s="1">
        <f t="shared" si="1"/>
        <v>-69815.100000000006</v>
      </c>
      <c r="C23" s="1"/>
      <c r="D23" s="1"/>
      <c r="E23" s="1">
        <v>-7362.5</v>
      </c>
      <c r="F23" s="1"/>
      <c r="G23" s="1"/>
      <c r="H23" s="1"/>
      <c r="I23" s="1">
        <f>-1669.08-3588.52</f>
        <v>-5257.6</v>
      </c>
      <c r="J23" s="1"/>
      <c r="K23" s="1"/>
      <c r="L23" s="1">
        <f>-41466-15729</f>
        <v>-57195</v>
      </c>
      <c r="M23" s="1"/>
      <c r="N23" s="1"/>
      <c r="O23" s="1"/>
      <c r="P23" s="1"/>
    </row>
    <row r="24" spans="1:18" x14ac:dyDescent="0.25">
      <c r="A24" s="6">
        <v>44896</v>
      </c>
      <c r="B24" s="1">
        <f t="shared" si="1"/>
        <v>-56123.17</v>
      </c>
      <c r="C24" s="1"/>
      <c r="D24" s="1"/>
      <c r="E24" s="1"/>
      <c r="F24" s="1"/>
      <c r="G24" s="1"/>
      <c r="H24" s="1"/>
      <c r="I24" s="1">
        <f>-9087.3-3384.87</f>
        <v>-12472.169999999998</v>
      </c>
      <c r="J24" s="1"/>
      <c r="K24" s="1"/>
      <c r="L24" s="1">
        <f>-25390-18261</f>
        <v>-43651</v>
      </c>
      <c r="M24" s="1"/>
      <c r="N24" s="1"/>
      <c r="O24" s="1"/>
      <c r="P24" s="1"/>
    </row>
    <row r="25" spans="1:18" x14ac:dyDescent="0.25">
      <c r="A25" s="6">
        <v>44927</v>
      </c>
      <c r="B25" s="1">
        <f t="shared" si="1"/>
        <v>-12382.5</v>
      </c>
      <c r="C25" s="1"/>
      <c r="D25" s="1"/>
      <c r="E25" s="1"/>
      <c r="F25" s="1">
        <v>-6000</v>
      </c>
      <c r="G25" s="1"/>
      <c r="H25" s="1"/>
      <c r="I25" s="1"/>
      <c r="J25" s="1">
        <v>-382.5</v>
      </c>
      <c r="K25" s="1"/>
      <c r="L25" s="1"/>
      <c r="M25" s="1"/>
      <c r="N25" s="1">
        <v>-6000</v>
      </c>
      <c r="O25" s="1"/>
      <c r="P25" s="1"/>
    </row>
    <row r="26" spans="1:18" x14ac:dyDescent="0.25">
      <c r="A26" s="6">
        <v>44985</v>
      </c>
      <c r="B26" s="1">
        <f t="shared" si="1"/>
        <v>-788.5</v>
      </c>
      <c r="C26" s="1"/>
      <c r="D26" s="1"/>
      <c r="E26" s="1"/>
      <c r="F26" s="1"/>
      <c r="G26" s="1"/>
      <c r="H26" s="1"/>
      <c r="I26" s="1"/>
      <c r="J26" s="1">
        <f>-451-337.5</f>
        <v>-788.5</v>
      </c>
      <c r="K26" s="1"/>
      <c r="L26" s="1"/>
      <c r="M26" s="1"/>
      <c r="N26" s="1"/>
      <c r="O26" s="1"/>
      <c r="P26" s="1"/>
    </row>
    <row r="27" spans="1:18" x14ac:dyDescent="0.25">
      <c r="A27" s="6">
        <v>45016</v>
      </c>
      <c r="B27" s="1">
        <f t="shared" si="1"/>
        <v>-39749.01</v>
      </c>
      <c r="C27" s="1"/>
      <c r="D27" s="1"/>
      <c r="E27" s="1"/>
      <c r="F27" s="1"/>
      <c r="G27" s="1"/>
      <c r="H27" s="1"/>
      <c r="I27" s="1">
        <f>-9922.1-8392.63-1086.4</f>
        <v>-19401.13</v>
      </c>
      <c r="J27" s="1"/>
      <c r="K27" s="1"/>
      <c r="L27" s="1">
        <v>-4573</v>
      </c>
      <c r="M27" s="1">
        <f>-774.88-15000</f>
        <v>-15774.88</v>
      </c>
      <c r="N27" s="1"/>
      <c r="O27" s="1"/>
      <c r="P27" s="1"/>
      <c r="Q27" s="1">
        <f>SUM(D16:N27)</f>
        <v>-1401288.0499999998</v>
      </c>
      <c r="R27" t="s">
        <v>41</v>
      </c>
    </row>
    <row r="28" spans="1:18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8" ht="45" x14ac:dyDescent="0.25">
      <c r="A29" s="4" t="s">
        <v>10</v>
      </c>
      <c r="B29" s="1">
        <f>SUM(B9:B28)</f>
        <v>-2041780.76</v>
      </c>
      <c r="C29" s="1"/>
      <c r="D29" s="1">
        <f t="shared" ref="D29:P29" si="2">SUM(D9:D28)</f>
        <v>-900000</v>
      </c>
      <c r="E29" s="1">
        <f t="shared" si="2"/>
        <v>-422241.67000000004</v>
      </c>
      <c r="F29" s="1">
        <f t="shared" si="2"/>
        <v>-153397.71</v>
      </c>
      <c r="G29" s="1">
        <f t="shared" si="2"/>
        <v>-300000</v>
      </c>
      <c r="H29" s="1">
        <f t="shared" si="2"/>
        <v>-56067</v>
      </c>
      <c r="I29" s="1">
        <f t="shared" si="2"/>
        <v>-43000.5</v>
      </c>
      <c r="J29" s="1">
        <f t="shared" si="2"/>
        <v>-24979</v>
      </c>
      <c r="K29" s="1">
        <f t="shared" si="2"/>
        <v>-8000</v>
      </c>
      <c r="L29" s="1">
        <f t="shared" si="2"/>
        <v>-110640</v>
      </c>
      <c r="M29" s="1">
        <f t="shared" si="2"/>
        <v>-15774.88</v>
      </c>
      <c r="N29" s="1">
        <f t="shared" si="2"/>
        <v>-7680</v>
      </c>
      <c r="O29" s="1"/>
      <c r="P29" s="1">
        <f t="shared" si="2"/>
        <v>0</v>
      </c>
    </row>
    <row r="30" spans="1:18" x14ac:dyDescent="0.25">
      <c r="B30" s="1">
        <f>SUM(D29:P29)</f>
        <v>-2041780.7599999998</v>
      </c>
      <c r="C30" t="s">
        <v>11</v>
      </c>
      <c r="Q30" s="1">
        <f>+Q15+Q27</f>
        <v>-2041780.7599999998</v>
      </c>
    </row>
    <row r="32" spans="1:18" ht="30" x14ac:dyDescent="0.25">
      <c r="A32" s="4" t="s">
        <v>12</v>
      </c>
      <c r="B32" s="1">
        <f>+B7+B29</f>
        <v>1343339.24</v>
      </c>
      <c r="D32" s="1">
        <f t="shared" ref="D32:P32" si="3">+D7+D29</f>
        <v>0</v>
      </c>
      <c r="E32" s="1">
        <f t="shared" si="3"/>
        <v>227758.32999999996</v>
      </c>
      <c r="F32" s="1">
        <f t="shared" si="3"/>
        <v>16602.290000000008</v>
      </c>
      <c r="G32" s="1">
        <f t="shared" si="3"/>
        <v>150000</v>
      </c>
      <c r="H32" s="1">
        <f t="shared" si="3"/>
        <v>0</v>
      </c>
      <c r="I32" s="1">
        <f>+I7+I29</f>
        <v>201868.5</v>
      </c>
      <c r="J32" s="1">
        <f t="shared" si="3"/>
        <v>345021</v>
      </c>
      <c r="K32" s="1">
        <f t="shared" si="3"/>
        <v>0</v>
      </c>
      <c r="L32" s="1">
        <f t="shared" si="3"/>
        <v>89360</v>
      </c>
      <c r="M32" s="1">
        <f t="shared" si="3"/>
        <v>134225.12</v>
      </c>
      <c r="N32" s="1">
        <f t="shared" si="3"/>
        <v>21320</v>
      </c>
      <c r="O32" s="1">
        <f t="shared" si="3"/>
        <v>150000</v>
      </c>
      <c r="P32" s="1">
        <f t="shared" si="3"/>
        <v>7184</v>
      </c>
    </row>
    <row r="33" spans="2:12" x14ac:dyDescent="0.25">
      <c r="B33" s="1">
        <f>SUM(D32:P32)</f>
        <v>1343339.24</v>
      </c>
      <c r="C33" t="s">
        <v>11</v>
      </c>
      <c r="J33" t="s">
        <v>37</v>
      </c>
    </row>
    <row r="34" spans="2:12" x14ac:dyDescent="0.25">
      <c r="J34" t="s">
        <v>38</v>
      </c>
    </row>
    <row r="35" spans="2:12" x14ac:dyDescent="0.25">
      <c r="J35" s="1"/>
      <c r="L35" s="1"/>
    </row>
    <row r="37" spans="2:12" x14ac:dyDescent="0.25">
      <c r="G37" s="1"/>
    </row>
  </sheetData>
  <printOptions gridLines="1"/>
  <pageMargins left="0.7" right="0.7" top="0.75" bottom="0.75" header="0.3" footer="0.3"/>
  <pageSetup scale="57" orientation="landscape" r:id="rId1"/>
  <headerFooter>
    <oddFooter>&amp;L&amp;Z&amp;F&amp;R&amp;D&amp;T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9B912-F42B-4006-95C0-E634D4387091}">
  <sheetPr>
    <pageSetUpPr fitToPage="1"/>
  </sheetPr>
  <dimension ref="A1:R39"/>
  <sheetViews>
    <sheetView zoomScaleNormal="100" workbookViewId="0">
      <selection activeCell="M7" sqref="M7"/>
    </sheetView>
  </sheetViews>
  <sheetFormatPr defaultRowHeight="15" x14ac:dyDescent="0.25"/>
  <cols>
    <col min="2" max="2" width="12.7109375" customWidth="1"/>
    <col min="4" max="4" width="9" bestFit="1" customWidth="1"/>
    <col min="5" max="5" width="10.28515625" customWidth="1"/>
    <col min="6" max="6" width="11.85546875" customWidth="1"/>
    <col min="7" max="7" width="13.5703125" customWidth="1"/>
    <col min="8" max="8" width="14.5703125" customWidth="1"/>
    <col min="9" max="9" width="11.5703125" bestFit="1" customWidth="1"/>
    <col min="10" max="10" width="14.28515625" customWidth="1"/>
    <col min="11" max="11" width="9.7109375" customWidth="1"/>
    <col min="12" max="13" width="14.42578125" customWidth="1"/>
    <col min="14" max="15" width="10.85546875" customWidth="1"/>
    <col min="16" max="16" width="10.5703125" bestFit="1" customWidth="1"/>
    <col min="17" max="17" width="10" bestFit="1" customWidth="1"/>
  </cols>
  <sheetData>
    <row r="1" spans="1:18" ht="26.25" x14ac:dyDescent="0.4">
      <c r="B1" s="2" t="s">
        <v>0</v>
      </c>
      <c r="C1" s="2"/>
      <c r="D1" s="2"/>
      <c r="E1" s="2"/>
      <c r="F1" s="2"/>
      <c r="N1" t="s">
        <v>15</v>
      </c>
      <c r="P1" s="8">
        <v>45050</v>
      </c>
    </row>
    <row r="2" spans="1:18" ht="26.25" x14ac:dyDescent="0.4">
      <c r="B2" s="2" t="s">
        <v>1</v>
      </c>
      <c r="C2" s="2"/>
      <c r="D2" s="2"/>
      <c r="E2" s="2"/>
      <c r="F2" s="2"/>
    </row>
    <row r="3" spans="1:18" ht="26.25" x14ac:dyDescent="0.4">
      <c r="B3" s="2"/>
      <c r="C3" s="2"/>
      <c r="D3" s="2"/>
      <c r="E3" s="2"/>
      <c r="F3" s="2"/>
    </row>
    <row r="4" spans="1:18" ht="26.45" customHeight="1" x14ac:dyDescent="0.25">
      <c r="A4" s="7" t="s">
        <v>8</v>
      </c>
      <c r="B4" s="3" t="s">
        <v>2</v>
      </c>
      <c r="C4" s="3" t="s">
        <v>7</v>
      </c>
      <c r="D4" s="3">
        <v>124</v>
      </c>
      <c r="E4" s="3" t="s">
        <v>18</v>
      </c>
      <c r="F4" s="3" t="s">
        <v>19</v>
      </c>
      <c r="G4" s="3" t="s">
        <v>25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17</v>
      </c>
      <c r="N4" s="3" t="s">
        <v>24</v>
      </c>
      <c r="O4" s="3"/>
    </row>
    <row r="5" spans="1:18" ht="58.15" customHeight="1" x14ac:dyDescent="0.25">
      <c r="D5" s="5" t="s">
        <v>3</v>
      </c>
      <c r="E5" s="5" t="s">
        <v>4</v>
      </c>
      <c r="F5" s="5" t="s">
        <v>14</v>
      </c>
      <c r="G5" s="5" t="s">
        <v>30</v>
      </c>
      <c r="H5" s="5" t="s">
        <v>32</v>
      </c>
      <c r="I5" s="5" t="s">
        <v>28</v>
      </c>
      <c r="J5" s="5" t="s">
        <v>39</v>
      </c>
      <c r="K5" s="5" t="s">
        <v>29</v>
      </c>
      <c r="L5" s="5" t="s">
        <v>16</v>
      </c>
      <c r="M5" s="5" t="s">
        <v>35</v>
      </c>
      <c r="N5" s="5" t="s">
        <v>36</v>
      </c>
      <c r="O5" s="5" t="s">
        <v>42</v>
      </c>
      <c r="P5" s="5" t="s">
        <v>6</v>
      </c>
    </row>
    <row r="6" spans="1:18" ht="33.6" customHeight="1" x14ac:dyDescent="0.25">
      <c r="D6" s="4"/>
      <c r="E6" s="4"/>
      <c r="F6" s="4"/>
      <c r="G6" s="4" t="s">
        <v>33</v>
      </c>
      <c r="H6" s="4" t="s">
        <v>34</v>
      </c>
      <c r="I6" s="4"/>
      <c r="J6" s="4"/>
      <c r="K6" s="4"/>
      <c r="L6" s="4"/>
      <c r="M6" s="4"/>
      <c r="N6" s="4"/>
      <c r="O6" s="4"/>
      <c r="P6" s="4"/>
    </row>
    <row r="7" spans="1:18" x14ac:dyDescent="0.25">
      <c r="B7" s="1">
        <v>3385120</v>
      </c>
      <c r="C7" s="1"/>
      <c r="D7" s="1">
        <v>900000</v>
      </c>
      <c r="E7" s="1">
        <v>650000</v>
      </c>
      <c r="F7" s="1">
        <f>161000+9000</f>
        <v>170000</v>
      </c>
      <c r="G7" s="1">
        <f>300000+150000</f>
        <v>450000</v>
      </c>
      <c r="H7" s="1">
        <f>4000+34000+18067</f>
        <v>56067</v>
      </c>
      <c r="I7" s="1">
        <v>244869</v>
      </c>
      <c r="J7" s="1">
        <f>520000-150000</f>
        <v>370000</v>
      </c>
      <c r="K7" s="1">
        <v>8000</v>
      </c>
      <c r="L7" s="1">
        <v>200000</v>
      </c>
      <c r="M7" s="1">
        <v>150000</v>
      </c>
      <c r="N7" s="1">
        <f>9000+20000</f>
        <v>29000</v>
      </c>
      <c r="O7" s="1">
        <v>150000</v>
      </c>
      <c r="P7" s="1">
        <f>+B7-L7-K7-J7-I7-H7-G7-F7-E7-D7-N7-M7-O7</f>
        <v>7184</v>
      </c>
    </row>
    <row r="8" spans="1:18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8" x14ac:dyDescent="0.25">
      <c r="A9" s="6">
        <v>44440</v>
      </c>
      <c r="B9" s="1">
        <f t="shared" ref="B9:B11" si="0">SUM(D9:P9)</f>
        <v>-7000</v>
      </c>
      <c r="C9" s="1"/>
      <c r="D9" s="1"/>
      <c r="E9" s="1"/>
      <c r="F9" s="1"/>
      <c r="G9" s="1"/>
      <c r="H9" s="1"/>
      <c r="I9" s="1"/>
      <c r="J9" s="1">
        <v>-7000</v>
      </c>
      <c r="K9" s="1"/>
      <c r="L9" s="1"/>
      <c r="M9" s="1"/>
      <c r="N9" s="1"/>
      <c r="O9" s="1"/>
      <c r="P9" s="1"/>
    </row>
    <row r="10" spans="1:18" x14ac:dyDescent="0.25">
      <c r="A10" s="6">
        <v>44470</v>
      </c>
      <c r="B10" s="1">
        <f t="shared" si="0"/>
        <v>-44000</v>
      </c>
      <c r="C10" s="1"/>
      <c r="D10" s="1"/>
      <c r="E10" s="1"/>
      <c r="F10" s="1"/>
      <c r="G10" s="1"/>
      <c r="H10" s="1">
        <v>-38000</v>
      </c>
      <c r="I10" s="1"/>
      <c r="J10" s="1">
        <v>-6000</v>
      </c>
      <c r="K10" s="1"/>
      <c r="L10" s="1"/>
      <c r="M10" s="1"/>
      <c r="N10" s="1"/>
      <c r="O10" s="1"/>
      <c r="P10" s="1"/>
    </row>
    <row r="11" spans="1:18" x14ac:dyDescent="0.25">
      <c r="A11" s="6">
        <v>44501</v>
      </c>
      <c r="B11" s="1">
        <f t="shared" si="0"/>
        <v>-5000</v>
      </c>
      <c r="C11" s="1"/>
      <c r="D11" s="1"/>
      <c r="E11" s="1"/>
      <c r="F11" s="1"/>
      <c r="G11" s="1"/>
      <c r="H11" s="1"/>
      <c r="I11" s="1"/>
      <c r="J11" s="1">
        <v>-5000</v>
      </c>
      <c r="K11" s="1"/>
      <c r="L11" s="1"/>
      <c r="M11" s="1"/>
      <c r="N11" s="1"/>
      <c r="O11" s="1"/>
      <c r="P11" s="1"/>
    </row>
    <row r="12" spans="1:18" x14ac:dyDescent="0.25">
      <c r="A12" s="6">
        <v>44531</v>
      </c>
      <c r="B12" s="1">
        <f>SUM(D12:P12)</f>
        <v>-584332.71</v>
      </c>
      <c r="C12" s="1"/>
      <c r="D12" s="1">
        <v>-442495</v>
      </c>
      <c r="E12" s="1"/>
      <c r="F12" s="1">
        <f>-50218.4-88179.31</f>
        <v>-138397.71</v>
      </c>
      <c r="G12" s="1"/>
      <c r="H12" s="1"/>
      <c r="I12" s="1"/>
      <c r="J12" s="1">
        <v>-2000</v>
      </c>
      <c r="K12" s="1"/>
      <c r="L12" s="1"/>
      <c r="M12" s="1"/>
      <c r="N12" s="1">
        <v>-1440</v>
      </c>
      <c r="O12" s="1"/>
      <c r="P12" s="1"/>
    </row>
    <row r="13" spans="1:18" x14ac:dyDescent="0.25">
      <c r="A13" s="6">
        <v>44562</v>
      </c>
      <c r="B13" s="1">
        <f t="shared" ref="B13:B29" si="1">SUM(D13:P13)</f>
        <v>-80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v>-80</v>
      </c>
      <c r="O13" s="1"/>
      <c r="P13" s="1"/>
    </row>
    <row r="14" spans="1:18" x14ac:dyDescent="0.25">
      <c r="A14" s="6">
        <v>44593</v>
      </c>
      <c r="B14" s="1">
        <f t="shared" si="1"/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x14ac:dyDescent="0.25">
      <c r="A15" s="6">
        <v>44621</v>
      </c>
      <c r="B15" s="1">
        <f t="shared" si="1"/>
        <v>-80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v>-80</v>
      </c>
      <c r="O15" s="1"/>
      <c r="P15" s="1"/>
      <c r="Q15" s="1">
        <f>SUM(D9:N15)</f>
        <v>-640492.71</v>
      </c>
      <c r="R15" t="s">
        <v>40</v>
      </c>
    </row>
    <row r="16" spans="1:18" x14ac:dyDescent="0.25">
      <c r="A16" s="6">
        <v>44652</v>
      </c>
      <c r="B16" s="1">
        <f t="shared" si="1"/>
        <v>-39375.410000000003</v>
      </c>
      <c r="C16" s="1"/>
      <c r="D16" s="1"/>
      <c r="E16" s="1">
        <f>-1400-37895.41</f>
        <v>-39295.410000000003</v>
      </c>
      <c r="F16" s="1"/>
      <c r="G16" s="1"/>
      <c r="H16" s="1"/>
      <c r="I16" s="1"/>
      <c r="J16" s="1"/>
      <c r="K16" s="1"/>
      <c r="L16" s="1"/>
      <c r="M16" s="1"/>
      <c r="N16" s="1">
        <v>-80</v>
      </c>
      <c r="O16" s="1"/>
      <c r="P16" s="1"/>
    </row>
    <row r="17" spans="1:18" x14ac:dyDescent="0.25">
      <c r="A17" s="6">
        <v>44682</v>
      </c>
      <c r="B17" s="1">
        <f t="shared" si="1"/>
        <v>-18067</v>
      </c>
      <c r="C17" s="1"/>
      <c r="D17" s="1"/>
      <c r="E17" s="1"/>
      <c r="F17" s="1"/>
      <c r="G17" s="1"/>
      <c r="H17" s="1">
        <v>-18067</v>
      </c>
      <c r="I17" s="1"/>
      <c r="J17" s="1"/>
      <c r="K17" s="1"/>
      <c r="L17" s="1"/>
      <c r="M17" s="1"/>
      <c r="N17" s="1"/>
      <c r="O17" s="1"/>
      <c r="P17" s="1"/>
    </row>
    <row r="18" spans="1:18" x14ac:dyDescent="0.25">
      <c r="A18" s="6">
        <v>44713</v>
      </c>
      <c r="B18" s="1">
        <f t="shared" si="1"/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8" x14ac:dyDescent="0.25">
      <c r="A19" s="6">
        <v>44743</v>
      </c>
      <c r="B19" s="1">
        <f t="shared" si="1"/>
        <v>-581578.9</v>
      </c>
      <c r="C19" s="1"/>
      <c r="D19" s="1"/>
      <c r="E19" s="1">
        <f>-90558.76-185821.24</f>
        <v>-276380</v>
      </c>
      <c r="F19" s="1"/>
      <c r="G19" s="1">
        <v>-300000</v>
      </c>
      <c r="H19" s="1"/>
      <c r="I19" s="1">
        <v>-1390.9</v>
      </c>
      <c r="J19" s="1">
        <v>-3808</v>
      </c>
      <c r="K19" s="1"/>
      <c r="L19" s="1"/>
      <c r="M19" s="1"/>
      <c r="N19" s="1"/>
      <c r="O19" s="1"/>
      <c r="P19" s="1"/>
    </row>
    <row r="20" spans="1:18" x14ac:dyDescent="0.25">
      <c r="A20" s="6">
        <v>44774</v>
      </c>
      <c r="B20" s="1">
        <f t="shared" si="1"/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8" x14ac:dyDescent="0.25">
      <c r="A21" s="6">
        <v>44805</v>
      </c>
      <c r="B21" s="1">
        <f t="shared" si="1"/>
        <v>-476204.7</v>
      </c>
      <c r="C21" s="1"/>
      <c r="D21" s="1">
        <v>-457505</v>
      </c>
      <c r="E21" s="1"/>
      <c r="F21" s="1">
        <v>-9000</v>
      </c>
      <c r="G21" s="1"/>
      <c r="H21" s="1"/>
      <c r="I21" s="1">
        <v>-4478.7</v>
      </c>
      <c r="J21" s="1"/>
      <c r="K21" s="1"/>
      <c r="L21" s="1">
        <v>-5221</v>
      </c>
      <c r="M21" s="1"/>
      <c r="N21" s="1"/>
      <c r="O21" s="1"/>
      <c r="P21" s="1"/>
    </row>
    <row r="22" spans="1:18" x14ac:dyDescent="0.25">
      <c r="A22" s="6">
        <v>44835</v>
      </c>
      <c r="B22" s="1">
        <f t="shared" si="1"/>
        <v>-107203.76</v>
      </c>
      <c r="C22" s="1"/>
      <c r="D22" s="1"/>
      <c r="E22" s="1">
        <f>-90471-8732.76</f>
        <v>-99203.76</v>
      </c>
      <c r="F22" s="1"/>
      <c r="G22" s="1"/>
      <c r="H22" s="1"/>
      <c r="I22" s="1"/>
      <c r="J22" s="1"/>
      <c r="K22" s="1">
        <v>-8000</v>
      </c>
      <c r="L22" s="1"/>
      <c r="M22" s="1"/>
      <c r="N22" s="1"/>
      <c r="O22" s="1"/>
      <c r="P22" s="1"/>
    </row>
    <row r="23" spans="1:18" x14ac:dyDescent="0.25">
      <c r="A23" s="6">
        <v>44866</v>
      </c>
      <c r="B23" s="1">
        <f t="shared" si="1"/>
        <v>-69815.100000000006</v>
      </c>
      <c r="C23" s="1"/>
      <c r="D23" s="1"/>
      <c r="E23" s="1">
        <v>-7362.5</v>
      </c>
      <c r="F23" s="1"/>
      <c r="G23" s="1"/>
      <c r="H23" s="1"/>
      <c r="I23" s="1">
        <f>-1669.08-3588.52</f>
        <v>-5257.6</v>
      </c>
      <c r="J23" s="1"/>
      <c r="K23" s="1"/>
      <c r="L23" s="1">
        <f>-41466-15729</f>
        <v>-57195</v>
      </c>
      <c r="M23" s="1"/>
      <c r="N23" s="1"/>
      <c r="O23" s="1"/>
      <c r="P23" s="1"/>
    </row>
    <row r="24" spans="1:18" x14ac:dyDescent="0.25">
      <c r="A24" s="6">
        <v>44896</v>
      </c>
      <c r="B24" s="1">
        <f t="shared" si="1"/>
        <v>-56123.17</v>
      </c>
      <c r="C24" s="1"/>
      <c r="D24" s="1"/>
      <c r="E24" s="1"/>
      <c r="F24" s="1"/>
      <c r="G24" s="1"/>
      <c r="H24" s="1"/>
      <c r="I24" s="1">
        <f>-9087.3-3384.87</f>
        <v>-12472.169999999998</v>
      </c>
      <c r="J24" s="1"/>
      <c r="K24" s="1"/>
      <c r="L24" s="1">
        <f>-25390-18261</f>
        <v>-43651</v>
      </c>
      <c r="M24" s="1"/>
      <c r="N24" s="1"/>
      <c r="O24" s="1"/>
      <c r="P24" s="1"/>
    </row>
    <row r="25" spans="1:18" x14ac:dyDescent="0.25">
      <c r="A25" s="6">
        <v>44927</v>
      </c>
      <c r="B25" s="1">
        <f t="shared" si="1"/>
        <v>-12382.5</v>
      </c>
      <c r="C25" s="1"/>
      <c r="D25" s="1"/>
      <c r="E25" s="1"/>
      <c r="F25" s="1">
        <v>-6000</v>
      </c>
      <c r="G25" s="1"/>
      <c r="H25" s="1"/>
      <c r="I25" s="1"/>
      <c r="J25" s="1">
        <v>-382.5</v>
      </c>
      <c r="K25" s="1"/>
      <c r="L25" s="1"/>
      <c r="M25" s="1"/>
      <c r="N25" s="1">
        <v>-6000</v>
      </c>
      <c r="O25" s="1"/>
      <c r="P25" s="1"/>
    </row>
    <row r="26" spans="1:18" x14ac:dyDescent="0.25">
      <c r="A26" s="6">
        <v>44985</v>
      </c>
      <c r="B26" s="1">
        <f t="shared" si="1"/>
        <v>-788.5</v>
      </c>
      <c r="C26" s="1"/>
      <c r="D26" s="1"/>
      <c r="E26" s="1"/>
      <c r="F26" s="1"/>
      <c r="G26" s="1"/>
      <c r="H26" s="1"/>
      <c r="I26" s="1"/>
      <c r="J26" s="1">
        <f>-451-337.5</f>
        <v>-788.5</v>
      </c>
      <c r="K26" s="1"/>
      <c r="L26" s="1"/>
      <c r="M26" s="1"/>
      <c r="N26" s="1"/>
      <c r="O26" s="1"/>
      <c r="P26" s="1"/>
    </row>
    <row r="27" spans="1:18" x14ac:dyDescent="0.25">
      <c r="A27" s="6">
        <v>45016</v>
      </c>
      <c r="B27" s="1">
        <f t="shared" si="1"/>
        <v>-39749.01</v>
      </c>
      <c r="C27" s="1"/>
      <c r="D27" s="1"/>
      <c r="E27" s="1"/>
      <c r="F27" s="1"/>
      <c r="G27" s="1"/>
      <c r="H27" s="1"/>
      <c r="I27" s="1">
        <f>-9922.1-8392.63-1086.4</f>
        <v>-19401.13</v>
      </c>
      <c r="J27" s="1"/>
      <c r="K27" s="1"/>
      <c r="L27" s="1">
        <v>-4573</v>
      </c>
      <c r="M27" s="1">
        <f>-774.88-15000</f>
        <v>-15774.88</v>
      </c>
      <c r="N27" s="1"/>
      <c r="O27" s="1"/>
      <c r="P27" s="1"/>
      <c r="Q27" s="1">
        <f>SUM(D16:N27)</f>
        <v>-1401288.0499999998</v>
      </c>
      <c r="R27" t="s">
        <v>41</v>
      </c>
    </row>
    <row r="28" spans="1:18" x14ac:dyDescent="0.25">
      <c r="A28" s="6">
        <v>45039</v>
      </c>
      <c r="B28" s="1">
        <f t="shared" si="1"/>
        <v>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x14ac:dyDescent="0.25">
      <c r="A29" s="6">
        <v>45069</v>
      </c>
      <c r="B29" s="1">
        <f t="shared" si="1"/>
        <v>-169931.7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>
        <v>-19931.7</v>
      </c>
      <c r="N29" s="1"/>
      <c r="O29" s="1">
        <v>-150000</v>
      </c>
      <c r="P29" s="1"/>
      <c r="Q29" s="1"/>
    </row>
    <row r="30" spans="1:18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8" ht="45" x14ac:dyDescent="0.25">
      <c r="A31" s="4" t="s">
        <v>10</v>
      </c>
      <c r="B31" s="1">
        <f>SUM(B9:B30)</f>
        <v>-2211712.46</v>
      </c>
      <c r="C31" s="1"/>
      <c r="D31" s="1">
        <f t="shared" ref="D31:P31" si="2">SUM(D9:D30)</f>
        <v>-900000</v>
      </c>
      <c r="E31" s="1">
        <f t="shared" si="2"/>
        <v>-422241.67000000004</v>
      </c>
      <c r="F31" s="1">
        <f t="shared" si="2"/>
        <v>-153397.71</v>
      </c>
      <c r="G31" s="1">
        <f t="shared" si="2"/>
        <v>-300000</v>
      </c>
      <c r="H31" s="1">
        <f t="shared" si="2"/>
        <v>-56067</v>
      </c>
      <c r="I31" s="1">
        <f t="shared" si="2"/>
        <v>-43000.5</v>
      </c>
      <c r="J31" s="1">
        <f t="shared" si="2"/>
        <v>-24979</v>
      </c>
      <c r="K31" s="1">
        <f t="shared" si="2"/>
        <v>-8000</v>
      </c>
      <c r="L31" s="1">
        <f t="shared" si="2"/>
        <v>-110640</v>
      </c>
      <c r="M31" s="1">
        <f t="shared" si="2"/>
        <v>-35706.58</v>
      </c>
      <c r="N31" s="1">
        <f t="shared" si="2"/>
        <v>-7680</v>
      </c>
      <c r="O31" s="1">
        <f t="shared" si="2"/>
        <v>-150000</v>
      </c>
      <c r="P31" s="1">
        <f t="shared" si="2"/>
        <v>0</v>
      </c>
    </row>
    <row r="32" spans="1:18" x14ac:dyDescent="0.25">
      <c r="B32" s="1">
        <f>SUM(D31:P31)</f>
        <v>-2211712.46</v>
      </c>
      <c r="C32" t="s">
        <v>11</v>
      </c>
      <c r="Q32" s="1">
        <f>+Q15+Q27</f>
        <v>-2041780.7599999998</v>
      </c>
    </row>
    <row r="34" spans="1:16" ht="30" x14ac:dyDescent="0.25">
      <c r="A34" s="4" t="s">
        <v>12</v>
      </c>
      <c r="B34" s="1">
        <f>+B7+B31</f>
        <v>1173407.54</v>
      </c>
      <c r="D34" s="1">
        <f t="shared" ref="D34:P34" si="3">+D7+D31</f>
        <v>0</v>
      </c>
      <c r="E34" s="1">
        <f t="shared" si="3"/>
        <v>227758.32999999996</v>
      </c>
      <c r="F34" s="1">
        <f t="shared" si="3"/>
        <v>16602.290000000008</v>
      </c>
      <c r="G34" s="1">
        <f t="shared" si="3"/>
        <v>150000</v>
      </c>
      <c r="H34" s="1">
        <f t="shared" si="3"/>
        <v>0</v>
      </c>
      <c r="I34" s="1">
        <f>+I7+I31</f>
        <v>201868.5</v>
      </c>
      <c r="J34" s="1">
        <f t="shared" si="3"/>
        <v>345021</v>
      </c>
      <c r="K34" s="1">
        <f t="shared" si="3"/>
        <v>0</v>
      </c>
      <c r="L34" s="1">
        <f t="shared" si="3"/>
        <v>89360</v>
      </c>
      <c r="M34" s="1">
        <f t="shared" si="3"/>
        <v>114293.42</v>
      </c>
      <c r="N34" s="1">
        <f t="shared" si="3"/>
        <v>21320</v>
      </c>
      <c r="O34" s="1">
        <f t="shared" si="3"/>
        <v>0</v>
      </c>
      <c r="P34" s="1">
        <f t="shared" si="3"/>
        <v>7184</v>
      </c>
    </row>
    <row r="35" spans="1:16" x14ac:dyDescent="0.25">
      <c r="B35" s="1">
        <f>SUM(D34:P34)</f>
        <v>1173407.54</v>
      </c>
      <c r="C35" t="s">
        <v>11</v>
      </c>
      <c r="J35" t="s">
        <v>37</v>
      </c>
    </row>
    <row r="36" spans="1:16" x14ac:dyDescent="0.25">
      <c r="J36" t="s">
        <v>38</v>
      </c>
    </row>
    <row r="37" spans="1:16" x14ac:dyDescent="0.25">
      <c r="J37" s="1"/>
      <c r="L37" s="1"/>
    </row>
    <row r="39" spans="1:16" x14ac:dyDescent="0.25">
      <c r="G39" s="1"/>
    </row>
  </sheetData>
  <printOptions gridLines="1"/>
  <pageMargins left="0.7" right="0.7" top="0.75" bottom="0.75" header="0.3" footer="0.3"/>
  <pageSetup scale="57" orientation="landscape" r:id="rId1"/>
  <headerFooter>
    <oddFooter>&amp;L&amp;Z&amp;F&amp;R&amp;D&amp;T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00D35-9013-4BC7-B697-43BBDB5F2C52}">
  <sheetPr>
    <pageSetUpPr fitToPage="1"/>
  </sheetPr>
  <dimension ref="A1:R39"/>
  <sheetViews>
    <sheetView zoomScaleNormal="100" workbookViewId="0">
      <selection activeCell="P2" sqref="P2"/>
    </sheetView>
  </sheetViews>
  <sheetFormatPr defaultRowHeight="15" x14ac:dyDescent="0.25"/>
  <cols>
    <col min="1" max="1" width="9.7109375" bestFit="1" customWidth="1"/>
    <col min="2" max="2" width="12.7109375" customWidth="1"/>
    <col min="4" max="4" width="9" bestFit="1" customWidth="1"/>
    <col min="5" max="5" width="10.28515625" customWidth="1"/>
    <col min="6" max="6" width="11.85546875" customWidth="1"/>
    <col min="7" max="7" width="13.5703125" customWidth="1"/>
    <col min="8" max="8" width="14.5703125" customWidth="1"/>
    <col min="9" max="9" width="11.5703125" bestFit="1" customWidth="1"/>
    <col min="10" max="10" width="14.28515625" customWidth="1"/>
    <col min="11" max="11" width="9.7109375" customWidth="1"/>
    <col min="12" max="13" width="14.42578125" customWidth="1"/>
    <col min="14" max="15" width="10.85546875" customWidth="1"/>
    <col min="16" max="16" width="10.5703125" bestFit="1" customWidth="1"/>
    <col min="17" max="17" width="11.42578125" customWidth="1"/>
  </cols>
  <sheetData>
    <row r="1" spans="1:18" ht="26.25" x14ac:dyDescent="0.4">
      <c r="B1" s="2" t="s">
        <v>0</v>
      </c>
      <c r="C1" s="2"/>
      <c r="D1" s="2"/>
      <c r="E1" s="2"/>
      <c r="F1" s="2"/>
      <c r="N1" t="s">
        <v>15</v>
      </c>
      <c r="P1" s="8">
        <v>45107</v>
      </c>
    </row>
    <row r="2" spans="1:18" ht="26.25" x14ac:dyDescent="0.4">
      <c r="B2" s="2" t="s">
        <v>1</v>
      </c>
      <c r="C2" s="2"/>
      <c r="D2" s="2"/>
      <c r="E2" s="2"/>
      <c r="F2" s="2"/>
    </row>
    <row r="3" spans="1:18" ht="26.25" x14ac:dyDescent="0.4">
      <c r="B3" s="2"/>
      <c r="C3" s="2"/>
      <c r="D3" s="2"/>
      <c r="E3" s="2"/>
      <c r="F3" s="2"/>
    </row>
    <row r="4" spans="1:18" ht="26.45" customHeight="1" x14ac:dyDescent="0.25">
      <c r="A4" s="7" t="s">
        <v>8</v>
      </c>
      <c r="B4" s="3" t="s">
        <v>2</v>
      </c>
      <c r="C4" s="3" t="s">
        <v>7</v>
      </c>
      <c r="D4" s="3">
        <v>124</v>
      </c>
      <c r="E4" s="3" t="s">
        <v>18</v>
      </c>
      <c r="F4" s="3" t="s">
        <v>19</v>
      </c>
      <c r="G4" s="3" t="s">
        <v>25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17</v>
      </c>
      <c r="N4" s="3" t="s">
        <v>24</v>
      </c>
      <c r="O4" s="3"/>
    </row>
    <row r="5" spans="1:18" ht="58.15" customHeight="1" x14ac:dyDescent="0.25">
      <c r="D5" s="5" t="s">
        <v>3</v>
      </c>
      <c r="E5" s="5" t="s">
        <v>4</v>
      </c>
      <c r="F5" s="5" t="s">
        <v>14</v>
      </c>
      <c r="G5" s="5" t="s">
        <v>30</v>
      </c>
      <c r="H5" s="5" t="s">
        <v>32</v>
      </c>
      <c r="I5" s="5" t="s">
        <v>28</v>
      </c>
      <c r="J5" s="5" t="s">
        <v>39</v>
      </c>
      <c r="K5" s="5" t="s">
        <v>29</v>
      </c>
      <c r="L5" s="5" t="s">
        <v>16</v>
      </c>
      <c r="M5" s="5" t="s">
        <v>35</v>
      </c>
      <c r="N5" s="5" t="s">
        <v>36</v>
      </c>
      <c r="O5" s="5" t="s">
        <v>42</v>
      </c>
      <c r="P5" s="5" t="s">
        <v>6</v>
      </c>
    </row>
    <row r="6" spans="1:18" ht="33.6" customHeight="1" x14ac:dyDescent="0.25">
      <c r="D6" s="4"/>
      <c r="E6" s="4"/>
      <c r="F6" s="4"/>
      <c r="G6" s="4" t="s">
        <v>33</v>
      </c>
      <c r="H6" s="4" t="s">
        <v>34</v>
      </c>
      <c r="I6" s="4"/>
      <c r="J6" s="4"/>
      <c r="K6" s="4"/>
      <c r="L6" s="4"/>
      <c r="M6" s="4"/>
      <c r="N6" s="4"/>
      <c r="O6" s="4"/>
      <c r="P6" s="4"/>
    </row>
    <row r="7" spans="1:18" x14ac:dyDescent="0.25">
      <c r="B7" s="1">
        <v>3385120</v>
      </c>
      <c r="C7" s="1"/>
      <c r="D7" s="1">
        <v>900000</v>
      </c>
      <c r="E7" s="1">
        <v>650000</v>
      </c>
      <c r="F7" s="1">
        <f>161000+9000+9000</f>
        <v>179000</v>
      </c>
      <c r="G7" s="1">
        <f>300000+150000</f>
        <v>450000</v>
      </c>
      <c r="H7" s="1">
        <f>4000+34000+18067</f>
        <v>56067</v>
      </c>
      <c r="I7" s="1">
        <v>244869</v>
      </c>
      <c r="J7" s="1">
        <f>520000-150000</f>
        <v>370000</v>
      </c>
      <c r="K7" s="1">
        <v>8000</v>
      </c>
      <c r="L7" s="1">
        <v>200000</v>
      </c>
      <c r="M7" s="1">
        <v>150000</v>
      </c>
      <c r="N7" s="1">
        <v>27184</v>
      </c>
      <c r="O7" s="1">
        <v>150000</v>
      </c>
      <c r="P7" s="1">
        <f>+B7-L7-K7-J7-I7-H7-G7-F7-E7-D7-N7-M7-O7</f>
        <v>0</v>
      </c>
    </row>
    <row r="8" spans="1:18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8" x14ac:dyDescent="0.25">
      <c r="A9" s="6">
        <v>44440</v>
      </c>
      <c r="B9" s="1">
        <f t="shared" ref="B9:B11" si="0">SUM(D9:P9)</f>
        <v>-7000</v>
      </c>
      <c r="C9" s="1"/>
      <c r="D9" s="1"/>
      <c r="E9" s="1"/>
      <c r="F9" s="1"/>
      <c r="G9" s="1"/>
      <c r="H9" s="1"/>
      <c r="I9" s="1"/>
      <c r="J9" s="1">
        <v>-7000</v>
      </c>
      <c r="K9" s="1"/>
      <c r="L9" s="1"/>
      <c r="M9" s="1"/>
      <c r="N9" s="1"/>
      <c r="O9" s="1"/>
      <c r="P9" s="1"/>
    </row>
    <row r="10" spans="1:18" x14ac:dyDescent="0.25">
      <c r="A10" s="6">
        <v>44470</v>
      </c>
      <c r="B10" s="1">
        <f t="shared" si="0"/>
        <v>-44000</v>
      </c>
      <c r="C10" s="1"/>
      <c r="D10" s="1"/>
      <c r="E10" s="1"/>
      <c r="F10" s="1"/>
      <c r="G10" s="1"/>
      <c r="H10" s="1">
        <v>-38000</v>
      </c>
      <c r="I10" s="1"/>
      <c r="J10" s="1">
        <v>-6000</v>
      </c>
      <c r="K10" s="1"/>
      <c r="L10" s="1"/>
      <c r="M10" s="1"/>
      <c r="N10" s="1"/>
      <c r="O10" s="1"/>
      <c r="P10" s="1"/>
    </row>
    <row r="11" spans="1:18" x14ac:dyDescent="0.25">
      <c r="A11" s="6">
        <v>44501</v>
      </c>
      <c r="B11" s="1">
        <f t="shared" si="0"/>
        <v>-5000</v>
      </c>
      <c r="C11" s="1"/>
      <c r="D11" s="1"/>
      <c r="E11" s="1"/>
      <c r="F11" s="1"/>
      <c r="G11" s="1"/>
      <c r="H11" s="1"/>
      <c r="I11" s="1"/>
      <c r="J11" s="1">
        <v>-5000</v>
      </c>
      <c r="K11" s="1"/>
      <c r="L11" s="1"/>
      <c r="M11" s="1"/>
      <c r="N11" s="1"/>
      <c r="O11" s="1"/>
      <c r="P11" s="1"/>
    </row>
    <row r="12" spans="1:18" x14ac:dyDescent="0.25">
      <c r="A12" s="6">
        <v>44531</v>
      </c>
      <c r="B12" s="1">
        <f>SUM(D12:P12)</f>
        <v>-584332.71</v>
      </c>
      <c r="C12" s="1"/>
      <c r="D12" s="1">
        <v>-442495</v>
      </c>
      <c r="E12" s="1"/>
      <c r="F12" s="1">
        <f>-50218.4-88179.31</f>
        <v>-138397.71</v>
      </c>
      <c r="G12" s="1"/>
      <c r="H12" s="1"/>
      <c r="I12" s="1"/>
      <c r="J12" s="1">
        <v>-2000</v>
      </c>
      <c r="K12" s="1"/>
      <c r="L12" s="1"/>
      <c r="M12" s="1"/>
      <c r="N12" s="1">
        <v>-1440</v>
      </c>
      <c r="O12" s="1"/>
      <c r="P12" s="1"/>
    </row>
    <row r="13" spans="1:18" x14ac:dyDescent="0.25">
      <c r="A13" s="6">
        <v>44562</v>
      </c>
      <c r="B13" s="1">
        <f t="shared" ref="B13:B30" si="1">SUM(D13:P13)</f>
        <v>-80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v>-80</v>
      </c>
      <c r="O13" s="1"/>
      <c r="P13" s="1"/>
    </row>
    <row r="14" spans="1:18" x14ac:dyDescent="0.25">
      <c r="A14" s="6">
        <v>44593</v>
      </c>
      <c r="B14" s="1">
        <f t="shared" si="1"/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x14ac:dyDescent="0.25">
      <c r="A15" s="6">
        <v>44621</v>
      </c>
      <c r="B15" s="1">
        <f t="shared" si="1"/>
        <v>-80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v>-80</v>
      </c>
      <c r="O15" s="1"/>
      <c r="P15" s="1"/>
      <c r="Q15" s="1">
        <f>SUM(D9:N15)</f>
        <v>-640492.71</v>
      </c>
      <c r="R15" t="s">
        <v>40</v>
      </c>
    </row>
    <row r="16" spans="1:18" x14ac:dyDescent="0.25">
      <c r="A16" s="6">
        <v>44652</v>
      </c>
      <c r="B16" s="1">
        <f t="shared" si="1"/>
        <v>-39375.410000000003</v>
      </c>
      <c r="C16" s="1"/>
      <c r="D16" s="1"/>
      <c r="E16" s="1">
        <f>-1400-37895.41</f>
        <v>-39295.410000000003</v>
      </c>
      <c r="F16" s="1"/>
      <c r="G16" s="1"/>
      <c r="H16" s="1"/>
      <c r="I16" s="1"/>
      <c r="J16" s="1"/>
      <c r="K16" s="1"/>
      <c r="L16" s="1"/>
      <c r="M16" s="1"/>
      <c r="N16" s="1">
        <v>-80</v>
      </c>
      <c r="O16" s="1"/>
      <c r="P16" s="1"/>
    </row>
    <row r="17" spans="1:18" x14ac:dyDescent="0.25">
      <c r="A17" s="6">
        <v>44682</v>
      </c>
      <c r="B17" s="1">
        <f t="shared" si="1"/>
        <v>-18067</v>
      </c>
      <c r="C17" s="1"/>
      <c r="D17" s="1"/>
      <c r="E17" s="1"/>
      <c r="F17" s="1"/>
      <c r="G17" s="1"/>
      <c r="H17" s="1">
        <v>-18067</v>
      </c>
      <c r="I17" s="1"/>
      <c r="J17" s="1"/>
      <c r="K17" s="1"/>
      <c r="L17" s="1"/>
      <c r="M17" s="1"/>
      <c r="N17" s="1"/>
      <c r="O17" s="1"/>
      <c r="P17" s="1"/>
    </row>
    <row r="18" spans="1:18" x14ac:dyDescent="0.25">
      <c r="A18" s="6">
        <v>44713</v>
      </c>
      <c r="B18" s="1">
        <f t="shared" si="1"/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8" x14ac:dyDescent="0.25">
      <c r="A19" s="6">
        <v>44743</v>
      </c>
      <c r="B19" s="1">
        <f t="shared" si="1"/>
        <v>-581578.9</v>
      </c>
      <c r="C19" s="1"/>
      <c r="D19" s="1"/>
      <c r="E19" s="1">
        <f>-90558.76-185821.24</f>
        <v>-276380</v>
      </c>
      <c r="F19" s="1"/>
      <c r="G19" s="1">
        <v>-300000</v>
      </c>
      <c r="H19" s="1"/>
      <c r="I19" s="1">
        <v>-1390.9</v>
      </c>
      <c r="J19" s="1">
        <v>-3808</v>
      </c>
      <c r="K19" s="1"/>
      <c r="L19" s="1"/>
      <c r="M19" s="1"/>
      <c r="N19" s="1"/>
      <c r="O19" s="1"/>
      <c r="P19" s="1"/>
    </row>
    <row r="20" spans="1:18" x14ac:dyDescent="0.25">
      <c r="A20" s="6">
        <v>44774</v>
      </c>
      <c r="B20" s="1">
        <f t="shared" si="1"/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8" x14ac:dyDescent="0.25">
      <c r="A21" s="6">
        <v>44805</v>
      </c>
      <c r="B21" s="1">
        <f t="shared" si="1"/>
        <v>-476204.7</v>
      </c>
      <c r="C21" s="1"/>
      <c r="D21" s="1">
        <v>-457505</v>
      </c>
      <c r="E21" s="1"/>
      <c r="F21" s="1">
        <v>-9000</v>
      </c>
      <c r="G21" s="1"/>
      <c r="H21" s="1"/>
      <c r="I21" s="1">
        <v>-4478.7</v>
      </c>
      <c r="J21" s="1"/>
      <c r="K21" s="1"/>
      <c r="L21" s="1">
        <v>-5221</v>
      </c>
      <c r="M21" s="1"/>
      <c r="N21" s="1"/>
      <c r="O21" s="1"/>
      <c r="P21" s="1"/>
    </row>
    <row r="22" spans="1:18" x14ac:dyDescent="0.25">
      <c r="A22" s="6">
        <v>44835</v>
      </c>
      <c r="B22" s="1">
        <f t="shared" si="1"/>
        <v>-107203.76</v>
      </c>
      <c r="C22" s="1"/>
      <c r="D22" s="1"/>
      <c r="E22" s="1">
        <f>-90471-8732.76</f>
        <v>-99203.76</v>
      </c>
      <c r="F22" s="1"/>
      <c r="G22" s="1"/>
      <c r="H22" s="1"/>
      <c r="I22" s="1"/>
      <c r="J22" s="1"/>
      <c r="K22" s="1">
        <v>-8000</v>
      </c>
      <c r="L22" s="1"/>
      <c r="M22" s="1"/>
      <c r="N22" s="1"/>
      <c r="O22" s="1"/>
      <c r="P22" s="1"/>
    </row>
    <row r="23" spans="1:18" x14ac:dyDescent="0.25">
      <c r="A23" s="6">
        <v>44866</v>
      </c>
      <c r="B23" s="1">
        <f t="shared" si="1"/>
        <v>-69815.100000000006</v>
      </c>
      <c r="C23" s="1"/>
      <c r="D23" s="1"/>
      <c r="E23" s="1">
        <v>-7362.5</v>
      </c>
      <c r="F23" s="1"/>
      <c r="G23" s="1"/>
      <c r="H23" s="1"/>
      <c r="I23" s="1">
        <f>-1669.08-3588.52</f>
        <v>-5257.6</v>
      </c>
      <c r="J23" s="1"/>
      <c r="K23" s="1"/>
      <c r="L23" s="1">
        <f>-41466-15729</f>
        <v>-57195</v>
      </c>
      <c r="M23" s="1"/>
      <c r="N23" s="1"/>
      <c r="O23" s="1"/>
      <c r="P23" s="1"/>
    </row>
    <row r="24" spans="1:18" x14ac:dyDescent="0.25">
      <c r="A24" s="6">
        <v>44896</v>
      </c>
      <c r="B24" s="1">
        <f t="shared" si="1"/>
        <v>-56123.17</v>
      </c>
      <c r="C24" s="1"/>
      <c r="D24" s="1"/>
      <c r="E24" s="1"/>
      <c r="F24" s="1"/>
      <c r="G24" s="1"/>
      <c r="H24" s="1"/>
      <c r="I24" s="1">
        <f>-9087.3-3384.87</f>
        <v>-12472.169999999998</v>
      </c>
      <c r="J24" s="1"/>
      <c r="K24" s="1"/>
      <c r="L24" s="1">
        <f>-25390-18261</f>
        <v>-43651</v>
      </c>
      <c r="M24" s="1"/>
      <c r="N24" s="1"/>
      <c r="O24" s="1"/>
      <c r="P24" s="1"/>
    </row>
    <row r="25" spans="1:18" x14ac:dyDescent="0.25">
      <c r="A25" s="6">
        <v>44927</v>
      </c>
      <c r="B25" s="1">
        <f t="shared" si="1"/>
        <v>-12382.5</v>
      </c>
      <c r="C25" s="1"/>
      <c r="D25" s="1"/>
      <c r="E25" s="1"/>
      <c r="F25" s="1">
        <v>-6000</v>
      </c>
      <c r="G25" s="1"/>
      <c r="H25" s="1"/>
      <c r="I25" s="1"/>
      <c r="J25" s="1">
        <v>-382.5</v>
      </c>
      <c r="K25" s="1"/>
      <c r="L25" s="1"/>
      <c r="M25" s="1"/>
      <c r="N25" s="1">
        <v>-6000</v>
      </c>
      <c r="O25" s="1"/>
      <c r="P25" s="1"/>
    </row>
    <row r="26" spans="1:18" x14ac:dyDescent="0.25">
      <c r="A26" s="6">
        <v>44985</v>
      </c>
      <c r="B26" s="1">
        <f t="shared" si="1"/>
        <v>-788.5</v>
      </c>
      <c r="C26" s="1"/>
      <c r="D26" s="1"/>
      <c r="E26" s="1"/>
      <c r="F26" s="1"/>
      <c r="G26" s="1"/>
      <c r="H26" s="1"/>
      <c r="I26" s="1"/>
      <c r="J26" s="1">
        <f>-451-337.5</f>
        <v>-788.5</v>
      </c>
      <c r="K26" s="1"/>
      <c r="L26" s="1"/>
      <c r="M26" s="1"/>
      <c r="N26" s="1"/>
      <c r="O26" s="1"/>
      <c r="P26" s="1"/>
    </row>
    <row r="27" spans="1:18" x14ac:dyDescent="0.25">
      <c r="A27" s="6">
        <v>45016</v>
      </c>
      <c r="B27" s="1">
        <f t="shared" si="1"/>
        <v>-39749.01</v>
      </c>
      <c r="C27" s="1"/>
      <c r="D27" s="1"/>
      <c r="E27" s="1"/>
      <c r="F27" s="1"/>
      <c r="G27" s="1"/>
      <c r="H27" s="1"/>
      <c r="I27" s="1">
        <f>-9922.1-8392.63-1086.4</f>
        <v>-19401.13</v>
      </c>
      <c r="J27" s="1"/>
      <c r="K27" s="1"/>
      <c r="L27" s="1">
        <v>-4573</v>
      </c>
      <c r="M27" s="1">
        <f>-774.88-15000</f>
        <v>-15774.88</v>
      </c>
      <c r="N27" s="1"/>
      <c r="O27" s="1"/>
      <c r="P27" s="1"/>
      <c r="Q27" s="1">
        <f>SUM(D16:N27)</f>
        <v>-1401288.0499999998</v>
      </c>
      <c r="R27" t="s">
        <v>41</v>
      </c>
    </row>
    <row r="28" spans="1:18" x14ac:dyDescent="0.25">
      <c r="A28" s="6">
        <v>45039</v>
      </c>
      <c r="B28" s="1">
        <f t="shared" si="1"/>
        <v>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x14ac:dyDescent="0.25">
      <c r="A29" s="6">
        <v>45069</v>
      </c>
      <c r="B29" s="1">
        <f t="shared" si="1"/>
        <v>-169931.7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>
        <v>-19931.7</v>
      </c>
      <c r="N29" s="1"/>
      <c r="O29" s="1">
        <v>-150000</v>
      </c>
      <c r="P29" s="1"/>
      <c r="Q29" s="1"/>
    </row>
    <row r="30" spans="1:18" x14ac:dyDescent="0.25">
      <c r="A30" s="6">
        <v>45100</v>
      </c>
      <c r="B30" s="1">
        <f t="shared" si="1"/>
        <v>-100091.4</v>
      </c>
      <c r="C30" s="1"/>
      <c r="D30" s="1"/>
      <c r="E30" s="1">
        <v>-43635.22</v>
      </c>
      <c r="F30" s="1"/>
      <c r="G30" s="1"/>
      <c r="H30" s="1"/>
      <c r="I30" s="1">
        <f>-1722.5-3100.5</f>
        <v>-4823</v>
      </c>
      <c r="J30" s="1"/>
      <c r="K30" s="1"/>
      <c r="L30" s="1"/>
      <c r="M30" s="1">
        <f>-20646.55-30986.63</f>
        <v>-51633.18</v>
      </c>
      <c r="N30" s="1"/>
      <c r="O30" s="1"/>
      <c r="P30" s="1"/>
    </row>
    <row r="31" spans="1:18" ht="30" x14ac:dyDescent="0.25">
      <c r="A31" s="4" t="s">
        <v>10</v>
      </c>
      <c r="B31" s="1">
        <f>SUM(B9:B30)</f>
        <v>-2311803.86</v>
      </c>
      <c r="C31" s="1"/>
      <c r="D31" s="1">
        <f t="shared" ref="D31:P31" si="2">SUM(D9:D30)</f>
        <v>-900000</v>
      </c>
      <c r="E31" s="1">
        <f t="shared" si="2"/>
        <v>-465876.89</v>
      </c>
      <c r="F31" s="1">
        <f t="shared" si="2"/>
        <v>-153397.71</v>
      </c>
      <c r="G31" s="1">
        <f t="shared" si="2"/>
        <v>-300000</v>
      </c>
      <c r="H31" s="1">
        <f t="shared" si="2"/>
        <v>-56067</v>
      </c>
      <c r="I31" s="1">
        <f t="shared" si="2"/>
        <v>-47823.5</v>
      </c>
      <c r="J31" s="1">
        <f t="shared" si="2"/>
        <v>-24979</v>
      </c>
      <c r="K31" s="1">
        <f t="shared" si="2"/>
        <v>-8000</v>
      </c>
      <c r="L31" s="1">
        <f t="shared" si="2"/>
        <v>-110640</v>
      </c>
      <c r="M31" s="1">
        <f t="shared" si="2"/>
        <v>-87339.760000000009</v>
      </c>
      <c r="N31" s="1">
        <f t="shared" si="2"/>
        <v>-7680</v>
      </c>
      <c r="O31" s="1">
        <f t="shared" si="2"/>
        <v>-150000</v>
      </c>
      <c r="P31" s="1">
        <f t="shared" si="2"/>
        <v>0</v>
      </c>
    </row>
    <row r="32" spans="1:18" x14ac:dyDescent="0.25">
      <c r="B32" s="1">
        <f>SUM(D31:P31)</f>
        <v>-2311803.8600000003</v>
      </c>
      <c r="C32" t="s">
        <v>11</v>
      </c>
      <c r="Q32" s="1">
        <f>+Q15+Q27</f>
        <v>-2041780.7599999998</v>
      </c>
    </row>
    <row r="34" spans="1:16" ht="30" x14ac:dyDescent="0.25">
      <c r="A34" s="4" t="s">
        <v>12</v>
      </c>
      <c r="B34" s="1">
        <f>+B7+B31</f>
        <v>1073316.1400000001</v>
      </c>
      <c r="D34" s="1">
        <f t="shared" ref="D34:P34" si="3">+D7+D31</f>
        <v>0</v>
      </c>
      <c r="E34" s="1">
        <f t="shared" si="3"/>
        <v>184123.11</v>
      </c>
      <c r="F34" s="1">
        <f t="shared" si="3"/>
        <v>25602.290000000008</v>
      </c>
      <c r="G34" s="1">
        <f t="shared" si="3"/>
        <v>150000</v>
      </c>
      <c r="H34" s="1">
        <f t="shared" si="3"/>
        <v>0</v>
      </c>
      <c r="I34" s="1">
        <f>+I7+I31</f>
        <v>197045.5</v>
      </c>
      <c r="J34" s="1">
        <f t="shared" si="3"/>
        <v>345021</v>
      </c>
      <c r="K34" s="1">
        <f t="shared" si="3"/>
        <v>0</v>
      </c>
      <c r="L34" s="1">
        <f t="shared" si="3"/>
        <v>89360</v>
      </c>
      <c r="M34" s="1">
        <f t="shared" si="3"/>
        <v>62660.239999999991</v>
      </c>
      <c r="N34" s="1">
        <f t="shared" si="3"/>
        <v>19504</v>
      </c>
      <c r="O34" s="1">
        <f t="shared" si="3"/>
        <v>0</v>
      </c>
      <c r="P34" s="1">
        <f t="shared" si="3"/>
        <v>0</v>
      </c>
    </row>
    <row r="35" spans="1:16" x14ac:dyDescent="0.25">
      <c r="B35" s="1">
        <f>SUM(D34:P34)</f>
        <v>1073316.1400000001</v>
      </c>
      <c r="C35" t="s">
        <v>11</v>
      </c>
      <c r="J35" t="s">
        <v>37</v>
      </c>
    </row>
    <row r="36" spans="1:16" x14ac:dyDescent="0.25">
      <c r="J36" t="s">
        <v>38</v>
      </c>
    </row>
    <row r="37" spans="1:16" x14ac:dyDescent="0.25">
      <c r="J37" s="1"/>
      <c r="L37" s="1"/>
    </row>
    <row r="39" spans="1:16" x14ac:dyDescent="0.25">
      <c r="G39" s="1"/>
    </row>
  </sheetData>
  <printOptions gridLines="1"/>
  <pageMargins left="0.7" right="0.7" top="0.75" bottom="0.75" header="0.3" footer="0.3"/>
  <pageSetup scale="56" orientation="landscape" r:id="rId1"/>
  <headerFooter>
    <oddFooter>&amp;L&amp;Z&amp;F&amp;R&amp;D&amp;T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23E88-F873-43B3-8485-F5104EEC1F89}">
  <sheetPr>
    <pageSetUpPr fitToPage="1"/>
  </sheetPr>
  <dimension ref="A1:R40"/>
  <sheetViews>
    <sheetView topLeftCell="A19" zoomScaleNormal="100" workbookViewId="0">
      <selection activeCell="I35" sqref="I35"/>
    </sheetView>
  </sheetViews>
  <sheetFormatPr defaultRowHeight="15" x14ac:dyDescent="0.25"/>
  <cols>
    <col min="1" max="1" width="9.7109375" bestFit="1" customWidth="1"/>
    <col min="2" max="2" width="12.7109375" customWidth="1"/>
    <col min="4" max="4" width="9" bestFit="1" customWidth="1"/>
    <col min="5" max="5" width="10.28515625" customWidth="1"/>
    <col min="6" max="6" width="11.85546875" customWidth="1"/>
    <col min="7" max="7" width="13.5703125" customWidth="1"/>
    <col min="8" max="8" width="14.5703125" customWidth="1"/>
    <col min="9" max="9" width="11.5703125" bestFit="1" customWidth="1"/>
    <col min="10" max="10" width="14.28515625" customWidth="1"/>
    <col min="11" max="11" width="9.7109375" customWidth="1"/>
    <col min="12" max="13" width="14.42578125" customWidth="1"/>
    <col min="14" max="15" width="10.85546875" customWidth="1"/>
    <col min="16" max="16" width="10.5703125" bestFit="1" customWidth="1"/>
    <col min="17" max="17" width="11.42578125" customWidth="1"/>
  </cols>
  <sheetData>
    <row r="1" spans="1:18" ht="26.25" x14ac:dyDescent="0.4">
      <c r="B1" s="2" t="s">
        <v>0</v>
      </c>
      <c r="C1" s="2"/>
      <c r="D1" s="2"/>
      <c r="E1" s="2"/>
      <c r="F1" s="2"/>
      <c r="N1" t="s">
        <v>15</v>
      </c>
      <c r="P1" s="8">
        <v>45134</v>
      </c>
    </row>
    <row r="2" spans="1:18" ht="26.25" x14ac:dyDescent="0.4">
      <c r="B2" s="2" t="s">
        <v>1</v>
      </c>
      <c r="C2" s="2"/>
      <c r="D2" s="2"/>
      <c r="E2" s="2"/>
      <c r="F2" s="2"/>
    </row>
    <row r="3" spans="1:18" ht="26.25" x14ac:dyDescent="0.4">
      <c r="B3" s="2"/>
      <c r="C3" s="2"/>
      <c r="D3" s="2"/>
      <c r="E3" s="2"/>
      <c r="F3" s="2"/>
    </row>
    <row r="4" spans="1:18" ht="26.45" customHeight="1" x14ac:dyDescent="0.25">
      <c r="A4" s="7" t="s">
        <v>8</v>
      </c>
      <c r="B4" s="3" t="s">
        <v>2</v>
      </c>
      <c r="C4" s="3" t="s">
        <v>7</v>
      </c>
      <c r="D4" s="3">
        <v>124</v>
      </c>
      <c r="E4" s="3" t="s">
        <v>18</v>
      </c>
      <c r="F4" s="3" t="s">
        <v>19</v>
      </c>
      <c r="G4" s="3" t="s">
        <v>25</v>
      </c>
      <c r="H4" s="3" t="s">
        <v>19</v>
      </c>
      <c r="I4" s="3" t="s">
        <v>20</v>
      </c>
      <c r="J4" s="3" t="s">
        <v>21</v>
      </c>
      <c r="K4" s="3" t="s">
        <v>22</v>
      </c>
      <c r="L4" s="3" t="s">
        <v>23</v>
      </c>
      <c r="M4" s="3" t="s">
        <v>17</v>
      </c>
      <c r="N4" s="3" t="s">
        <v>24</v>
      </c>
      <c r="O4" s="3"/>
    </row>
    <row r="5" spans="1:18" ht="58.15" customHeight="1" x14ac:dyDescent="0.25">
      <c r="D5" s="5" t="s">
        <v>3</v>
      </c>
      <c r="E5" s="5" t="s">
        <v>4</v>
      </c>
      <c r="F5" s="5" t="s">
        <v>14</v>
      </c>
      <c r="G5" s="5" t="s">
        <v>30</v>
      </c>
      <c r="H5" s="5" t="s">
        <v>32</v>
      </c>
      <c r="I5" s="5" t="s">
        <v>28</v>
      </c>
      <c r="J5" s="5" t="s">
        <v>39</v>
      </c>
      <c r="K5" s="5" t="s">
        <v>29</v>
      </c>
      <c r="L5" s="5" t="s">
        <v>16</v>
      </c>
      <c r="M5" s="5" t="s">
        <v>35</v>
      </c>
      <c r="N5" s="5" t="s">
        <v>36</v>
      </c>
      <c r="O5" s="5" t="s">
        <v>42</v>
      </c>
      <c r="P5" s="5" t="s">
        <v>6</v>
      </c>
    </row>
    <row r="6" spans="1:18" ht="33.6" customHeight="1" x14ac:dyDescent="0.25">
      <c r="D6" s="4"/>
      <c r="E6" s="4"/>
      <c r="F6" s="4"/>
      <c r="G6" s="4" t="s">
        <v>33</v>
      </c>
      <c r="H6" s="4" t="s">
        <v>34</v>
      </c>
      <c r="I6" s="4"/>
      <c r="J6" s="4"/>
      <c r="K6" s="4"/>
      <c r="L6" s="4"/>
      <c r="M6" s="4"/>
      <c r="N6" s="4"/>
      <c r="O6" s="4"/>
      <c r="P6" s="4"/>
    </row>
    <row r="7" spans="1:18" x14ac:dyDescent="0.25">
      <c r="B7" s="1">
        <v>3385120</v>
      </c>
      <c r="C7" s="1"/>
      <c r="D7" s="1">
        <v>900000</v>
      </c>
      <c r="E7" s="1">
        <v>650000</v>
      </c>
      <c r="F7" s="1">
        <f>161000+9000+9000</f>
        <v>179000</v>
      </c>
      <c r="G7" s="1">
        <f>300000+150000</f>
        <v>450000</v>
      </c>
      <c r="H7" s="1">
        <f>4000+34000+18067</f>
        <v>56067</v>
      </c>
      <c r="I7" s="1">
        <v>244869</v>
      </c>
      <c r="J7" s="1">
        <f>520000-150000</f>
        <v>370000</v>
      </c>
      <c r="K7" s="1">
        <v>8000</v>
      </c>
      <c r="L7" s="1">
        <v>200000</v>
      </c>
      <c r="M7" s="1">
        <v>150000</v>
      </c>
      <c r="N7" s="1">
        <v>27184</v>
      </c>
      <c r="O7" s="1">
        <v>150000</v>
      </c>
      <c r="P7" s="1">
        <f>+B7-L7-K7-J7-I7-H7-G7-F7-E7-D7-N7-M7-O7</f>
        <v>0</v>
      </c>
    </row>
    <row r="8" spans="1:18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8" x14ac:dyDescent="0.25">
      <c r="A9" s="6">
        <v>44440</v>
      </c>
      <c r="B9" s="1">
        <f t="shared" ref="B9:B11" si="0">SUM(D9:P9)</f>
        <v>-7000</v>
      </c>
      <c r="C9" s="1"/>
      <c r="D9" s="1"/>
      <c r="E9" s="1"/>
      <c r="F9" s="1"/>
      <c r="G9" s="1"/>
      <c r="H9" s="1"/>
      <c r="I9" s="1"/>
      <c r="J9" s="1">
        <v>-7000</v>
      </c>
      <c r="K9" s="1"/>
      <c r="L9" s="1"/>
      <c r="M9" s="1"/>
      <c r="N9" s="1"/>
      <c r="O9" s="1"/>
      <c r="P9" s="1"/>
    </row>
    <row r="10" spans="1:18" x14ac:dyDescent="0.25">
      <c r="A10" s="6">
        <v>44470</v>
      </c>
      <c r="B10" s="1">
        <f t="shared" si="0"/>
        <v>-44000</v>
      </c>
      <c r="C10" s="1"/>
      <c r="D10" s="1"/>
      <c r="E10" s="1"/>
      <c r="F10" s="1"/>
      <c r="G10" s="1"/>
      <c r="H10" s="1">
        <v>-38000</v>
      </c>
      <c r="I10" s="1"/>
      <c r="J10" s="1">
        <v>-6000</v>
      </c>
      <c r="K10" s="1"/>
      <c r="L10" s="1"/>
      <c r="M10" s="1"/>
      <c r="N10" s="1"/>
      <c r="O10" s="1"/>
      <c r="P10" s="1"/>
    </row>
    <row r="11" spans="1:18" x14ac:dyDescent="0.25">
      <c r="A11" s="6">
        <v>44501</v>
      </c>
      <c r="B11" s="1">
        <f t="shared" si="0"/>
        <v>-5000</v>
      </c>
      <c r="C11" s="1"/>
      <c r="D11" s="1"/>
      <c r="E11" s="1"/>
      <c r="F11" s="1"/>
      <c r="G11" s="1"/>
      <c r="H11" s="1"/>
      <c r="I11" s="1"/>
      <c r="J11" s="1">
        <v>-5000</v>
      </c>
      <c r="K11" s="1"/>
      <c r="L11" s="1"/>
      <c r="M11" s="1"/>
      <c r="N11" s="1"/>
      <c r="O11" s="1"/>
      <c r="P11" s="1"/>
    </row>
    <row r="12" spans="1:18" x14ac:dyDescent="0.25">
      <c r="A12" s="6">
        <v>44531</v>
      </c>
      <c r="B12" s="1">
        <f>SUM(D12:P12)</f>
        <v>-584332.71</v>
      </c>
      <c r="C12" s="1"/>
      <c r="D12" s="1">
        <v>-442495</v>
      </c>
      <c r="E12" s="1"/>
      <c r="F12" s="1">
        <f>-50218.4-88179.31</f>
        <v>-138397.71</v>
      </c>
      <c r="G12" s="1"/>
      <c r="H12" s="1"/>
      <c r="I12" s="1"/>
      <c r="J12" s="1">
        <v>-2000</v>
      </c>
      <c r="K12" s="1"/>
      <c r="L12" s="1"/>
      <c r="M12" s="1"/>
      <c r="N12" s="1">
        <v>-1440</v>
      </c>
      <c r="O12" s="1"/>
      <c r="P12" s="1"/>
    </row>
    <row r="13" spans="1:18" x14ac:dyDescent="0.25">
      <c r="A13" s="6">
        <v>44562</v>
      </c>
      <c r="B13" s="1">
        <f t="shared" ref="B13:B31" si="1">SUM(D13:P13)</f>
        <v>-80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>
        <v>-80</v>
      </c>
      <c r="O13" s="1"/>
      <c r="P13" s="1"/>
    </row>
    <row r="14" spans="1:18" x14ac:dyDescent="0.25">
      <c r="A14" s="6">
        <v>44593</v>
      </c>
      <c r="B14" s="1">
        <f t="shared" si="1"/>
        <v>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x14ac:dyDescent="0.25">
      <c r="A15" s="6">
        <v>44621</v>
      </c>
      <c r="B15" s="1">
        <f t="shared" si="1"/>
        <v>-80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>
        <v>-80</v>
      </c>
      <c r="O15" s="1"/>
      <c r="P15" s="1"/>
      <c r="Q15" s="1">
        <f>SUM(D9:N15)</f>
        <v>-640492.71</v>
      </c>
      <c r="R15" t="s">
        <v>40</v>
      </c>
    </row>
    <row r="16" spans="1:18" x14ac:dyDescent="0.25">
      <c r="A16" s="6">
        <v>44652</v>
      </c>
      <c r="B16" s="1">
        <f t="shared" si="1"/>
        <v>-39375.410000000003</v>
      </c>
      <c r="C16" s="1"/>
      <c r="D16" s="1"/>
      <c r="E16" s="1">
        <f>-1400-37895.41</f>
        <v>-39295.410000000003</v>
      </c>
      <c r="F16" s="1"/>
      <c r="G16" s="1"/>
      <c r="H16" s="1"/>
      <c r="I16" s="1"/>
      <c r="J16" s="1"/>
      <c r="K16" s="1"/>
      <c r="L16" s="1"/>
      <c r="M16" s="1"/>
      <c r="N16" s="1">
        <v>-80</v>
      </c>
      <c r="O16" s="1"/>
      <c r="P16" s="1"/>
    </row>
    <row r="17" spans="1:18" x14ac:dyDescent="0.25">
      <c r="A17" s="6">
        <v>44682</v>
      </c>
      <c r="B17" s="1">
        <f t="shared" si="1"/>
        <v>-18067</v>
      </c>
      <c r="C17" s="1"/>
      <c r="D17" s="1"/>
      <c r="E17" s="1"/>
      <c r="F17" s="1"/>
      <c r="G17" s="1"/>
      <c r="H17" s="1">
        <v>-18067</v>
      </c>
      <c r="I17" s="1"/>
      <c r="J17" s="1"/>
      <c r="K17" s="1"/>
      <c r="L17" s="1"/>
      <c r="M17" s="1"/>
      <c r="N17" s="1"/>
      <c r="O17" s="1"/>
      <c r="P17" s="1"/>
    </row>
    <row r="18" spans="1:18" x14ac:dyDescent="0.25">
      <c r="A18" s="6">
        <v>44713</v>
      </c>
      <c r="B18" s="1">
        <f t="shared" si="1"/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8" x14ac:dyDescent="0.25">
      <c r="A19" s="6">
        <v>44743</v>
      </c>
      <c r="B19" s="1">
        <f t="shared" si="1"/>
        <v>-581578.9</v>
      </c>
      <c r="C19" s="1"/>
      <c r="D19" s="1"/>
      <c r="E19" s="1">
        <f>-90558.76-185821.24</f>
        <v>-276380</v>
      </c>
      <c r="F19" s="1"/>
      <c r="G19" s="1">
        <v>-300000</v>
      </c>
      <c r="H19" s="1"/>
      <c r="I19" s="1">
        <v>-1390.9</v>
      </c>
      <c r="J19" s="1">
        <v>-3808</v>
      </c>
      <c r="K19" s="1"/>
      <c r="L19" s="1"/>
      <c r="M19" s="1"/>
      <c r="N19" s="1"/>
      <c r="O19" s="1"/>
      <c r="P19" s="1"/>
    </row>
    <row r="20" spans="1:18" x14ac:dyDescent="0.25">
      <c r="A20" s="6">
        <v>44774</v>
      </c>
      <c r="B20" s="1">
        <f t="shared" si="1"/>
        <v>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8" x14ac:dyDescent="0.25">
      <c r="A21" s="6">
        <v>44805</v>
      </c>
      <c r="B21" s="1">
        <f t="shared" si="1"/>
        <v>-476204.7</v>
      </c>
      <c r="C21" s="1"/>
      <c r="D21" s="1">
        <v>-457505</v>
      </c>
      <c r="E21" s="1"/>
      <c r="F21" s="1">
        <v>-9000</v>
      </c>
      <c r="G21" s="1"/>
      <c r="H21" s="1"/>
      <c r="I21" s="1">
        <v>-4478.7</v>
      </c>
      <c r="J21" s="1"/>
      <c r="K21" s="1"/>
      <c r="L21" s="1">
        <v>-5221</v>
      </c>
      <c r="M21" s="1"/>
      <c r="N21" s="1"/>
      <c r="O21" s="1"/>
      <c r="P21" s="1"/>
    </row>
    <row r="22" spans="1:18" x14ac:dyDescent="0.25">
      <c r="A22" s="6">
        <v>44835</v>
      </c>
      <c r="B22" s="1">
        <f t="shared" si="1"/>
        <v>-107203.76</v>
      </c>
      <c r="C22" s="1"/>
      <c r="D22" s="1"/>
      <c r="E22" s="1">
        <f>-90471-8732.76</f>
        <v>-99203.76</v>
      </c>
      <c r="F22" s="1"/>
      <c r="G22" s="1"/>
      <c r="H22" s="1"/>
      <c r="I22" s="1"/>
      <c r="J22" s="1"/>
      <c r="K22" s="1">
        <v>-8000</v>
      </c>
      <c r="L22" s="1"/>
      <c r="M22" s="1"/>
      <c r="N22" s="1"/>
      <c r="O22" s="1"/>
      <c r="P22" s="1"/>
    </row>
    <row r="23" spans="1:18" x14ac:dyDescent="0.25">
      <c r="A23" s="6">
        <v>44866</v>
      </c>
      <c r="B23" s="1">
        <f t="shared" si="1"/>
        <v>-69815.100000000006</v>
      </c>
      <c r="C23" s="1"/>
      <c r="D23" s="1"/>
      <c r="E23" s="1">
        <v>-7362.5</v>
      </c>
      <c r="F23" s="1"/>
      <c r="G23" s="1"/>
      <c r="H23" s="1"/>
      <c r="I23" s="1">
        <f>-1669.08-3588.52</f>
        <v>-5257.6</v>
      </c>
      <c r="J23" s="1"/>
      <c r="K23" s="1"/>
      <c r="L23" s="1">
        <f>-41466-15729</f>
        <v>-57195</v>
      </c>
      <c r="M23" s="1"/>
      <c r="N23" s="1"/>
      <c r="O23" s="1"/>
      <c r="P23" s="1"/>
    </row>
    <row r="24" spans="1:18" x14ac:dyDescent="0.25">
      <c r="A24" s="6">
        <v>44896</v>
      </c>
      <c r="B24" s="1">
        <f t="shared" si="1"/>
        <v>-56123.17</v>
      </c>
      <c r="C24" s="1"/>
      <c r="D24" s="1"/>
      <c r="E24" s="1"/>
      <c r="F24" s="1"/>
      <c r="G24" s="1"/>
      <c r="H24" s="1"/>
      <c r="I24" s="1">
        <f>-9087.3-3384.87</f>
        <v>-12472.169999999998</v>
      </c>
      <c r="J24" s="1"/>
      <c r="K24" s="1"/>
      <c r="L24" s="1">
        <f>-25390-18261</f>
        <v>-43651</v>
      </c>
      <c r="M24" s="1"/>
      <c r="N24" s="1"/>
      <c r="O24" s="1"/>
      <c r="P24" s="1"/>
    </row>
    <row r="25" spans="1:18" x14ac:dyDescent="0.25">
      <c r="A25" s="6">
        <v>44927</v>
      </c>
      <c r="B25" s="1">
        <f t="shared" si="1"/>
        <v>-12382.5</v>
      </c>
      <c r="C25" s="1"/>
      <c r="D25" s="1"/>
      <c r="E25" s="1"/>
      <c r="F25" s="1">
        <v>-6000</v>
      </c>
      <c r="G25" s="1"/>
      <c r="H25" s="1"/>
      <c r="I25" s="1"/>
      <c r="J25" s="1">
        <v>-382.5</v>
      </c>
      <c r="K25" s="1"/>
      <c r="L25" s="1"/>
      <c r="M25" s="1"/>
      <c r="N25" s="1">
        <v>-6000</v>
      </c>
      <c r="O25" s="1"/>
      <c r="P25" s="1"/>
    </row>
    <row r="26" spans="1:18" x14ac:dyDescent="0.25">
      <c r="A26" s="6">
        <v>44985</v>
      </c>
      <c r="B26" s="1">
        <f t="shared" si="1"/>
        <v>-788.5</v>
      </c>
      <c r="C26" s="1"/>
      <c r="D26" s="1"/>
      <c r="E26" s="1"/>
      <c r="F26" s="1"/>
      <c r="G26" s="1"/>
      <c r="H26" s="1"/>
      <c r="I26" s="1"/>
      <c r="J26" s="1">
        <f>-451-337.5</f>
        <v>-788.5</v>
      </c>
      <c r="K26" s="1"/>
      <c r="L26" s="1"/>
      <c r="M26" s="1"/>
      <c r="N26" s="1"/>
      <c r="O26" s="1"/>
      <c r="P26" s="1"/>
    </row>
    <row r="27" spans="1:18" x14ac:dyDescent="0.25">
      <c r="A27" s="6">
        <v>45016</v>
      </c>
      <c r="B27" s="1">
        <f t="shared" si="1"/>
        <v>-39749.01</v>
      </c>
      <c r="C27" s="1"/>
      <c r="D27" s="1"/>
      <c r="E27" s="1"/>
      <c r="F27" s="1"/>
      <c r="G27" s="1"/>
      <c r="H27" s="1"/>
      <c r="I27" s="1">
        <f>-9922.1-8392.63-1086.4</f>
        <v>-19401.13</v>
      </c>
      <c r="J27" s="1"/>
      <c r="K27" s="1"/>
      <c r="L27" s="1">
        <v>-4573</v>
      </c>
      <c r="M27" s="1">
        <f>-774.88-15000</f>
        <v>-15774.88</v>
      </c>
      <c r="N27" s="1"/>
      <c r="O27" s="1"/>
      <c r="P27" s="1"/>
      <c r="Q27" s="1">
        <f>SUM(D16:N27)</f>
        <v>-1401288.0499999998</v>
      </c>
      <c r="R27" t="s">
        <v>41</v>
      </c>
    </row>
    <row r="28" spans="1:18" x14ac:dyDescent="0.25">
      <c r="A28" s="6">
        <v>45039</v>
      </c>
      <c r="B28" s="1">
        <f t="shared" si="1"/>
        <v>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x14ac:dyDescent="0.25">
      <c r="A29" s="6">
        <v>45069</v>
      </c>
      <c r="B29" s="1">
        <f t="shared" si="1"/>
        <v>-169931.7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>
        <v>-19931.7</v>
      </c>
      <c r="N29" s="1"/>
      <c r="O29" s="1">
        <v>-150000</v>
      </c>
      <c r="P29" s="1"/>
      <c r="Q29" s="1"/>
    </row>
    <row r="30" spans="1:18" x14ac:dyDescent="0.25">
      <c r="A30" s="6">
        <v>45100</v>
      </c>
      <c r="B30" s="1">
        <f t="shared" si="1"/>
        <v>-100091.18</v>
      </c>
      <c r="C30" s="1"/>
      <c r="D30" s="1"/>
      <c r="E30" s="1">
        <v>-43635</v>
      </c>
      <c r="F30" s="1"/>
      <c r="G30" s="1"/>
      <c r="H30" s="1"/>
      <c r="I30" s="1">
        <f>-1722.5-3100.5</f>
        <v>-4823</v>
      </c>
      <c r="J30" s="1"/>
      <c r="K30" s="1"/>
      <c r="L30" s="1"/>
      <c r="M30" s="1">
        <f>-20646.55-30986.63</f>
        <v>-51633.18</v>
      </c>
      <c r="N30" s="1"/>
      <c r="O30" s="1"/>
      <c r="P30" s="1"/>
    </row>
    <row r="31" spans="1:18" x14ac:dyDescent="0.25">
      <c r="A31" s="6">
        <v>45130</v>
      </c>
      <c r="B31" s="1">
        <f t="shared" si="1"/>
        <v>-35354.119999999995</v>
      </c>
      <c r="C31" s="1"/>
      <c r="D31" s="1"/>
      <c r="E31" s="1"/>
      <c r="F31" s="1"/>
      <c r="G31" s="1"/>
      <c r="H31" s="1"/>
      <c r="I31" s="1">
        <v>-689</v>
      </c>
      <c r="J31" s="1">
        <v>-6355</v>
      </c>
      <c r="K31" s="1"/>
      <c r="L31" s="1"/>
      <c r="M31" s="1">
        <v>-28310.12</v>
      </c>
      <c r="N31" s="1"/>
      <c r="O31" s="1"/>
      <c r="P31" s="1"/>
    </row>
    <row r="32" spans="1:18" ht="30" x14ac:dyDescent="0.25">
      <c r="A32" s="4" t="s">
        <v>10</v>
      </c>
      <c r="B32" s="1">
        <f>SUM(B9:B31)</f>
        <v>-2347157.7600000002</v>
      </c>
      <c r="C32" s="1"/>
      <c r="D32" s="1">
        <f>SUM(D9:D31)</f>
        <v>-900000</v>
      </c>
      <c r="E32" s="1">
        <f t="shared" ref="E32:P32" si="2">SUM(E9:E31)</f>
        <v>-465876.67000000004</v>
      </c>
      <c r="F32" s="1">
        <f t="shared" si="2"/>
        <v>-153397.71</v>
      </c>
      <c r="G32" s="1">
        <f t="shared" si="2"/>
        <v>-300000</v>
      </c>
      <c r="H32" s="1">
        <f t="shared" si="2"/>
        <v>-56067</v>
      </c>
      <c r="I32" s="1">
        <f t="shared" si="2"/>
        <v>-48512.5</v>
      </c>
      <c r="J32" s="1">
        <f t="shared" si="2"/>
        <v>-31334</v>
      </c>
      <c r="K32" s="1">
        <f t="shared" si="2"/>
        <v>-8000</v>
      </c>
      <c r="L32" s="1">
        <f t="shared" si="2"/>
        <v>-110640</v>
      </c>
      <c r="M32" s="1">
        <f t="shared" si="2"/>
        <v>-115649.88</v>
      </c>
      <c r="N32" s="1">
        <f t="shared" si="2"/>
        <v>-7680</v>
      </c>
      <c r="O32" s="1">
        <f t="shared" si="2"/>
        <v>-150000</v>
      </c>
      <c r="P32" s="1">
        <f t="shared" si="2"/>
        <v>0</v>
      </c>
    </row>
    <row r="33" spans="1:17" x14ac:dyDescent="0.25">
      <c r="B33" s="1">
        <f>SUM(D32:P32)</f>
        <v>-2347157.7599999998</v>
      </c>
      <c r="C33" t="s">
        <v>11</v>
      </c>
      <c r="Q33" s="1">
        <f>+Q15+Q27</f>
        <v>-2041780.7599999998</v>
      </c>
    </row>
    <row r="35" spans="1:17" ht="30" x14ac:dyDescent="0.25">
      <c r="A35" s="4" t="s">
        <v>12</v>
      </c>
      <c r="B35" s="1">
        <f>+B7+B32</f>
        <v>1037962.2399999998</v>
      </c>
      <c r="D35" s="1">
        <f t="shared" ref="D35:P35" si="3">+D7+D32</f>
        <v>0</v>
      </c>
      <c r="E35" s="1">
        <f t="shared" si="3"/>
        <v>184123.32999999996</v>
      </c>
      <c r="F35" s="1">
        <f t="shared" si="3"/>
        <v>25602.290000000008</v>
      </c>
      <c r="G35" s="1">
        <f t="shared" si="3"/>
        <v>150000</v>
      </c>
      <c r="H35" s="1">
        <f t="shared" si="3"/>
        <v>0</v>
      </c>
      <c r="I35" s="1">
        <f>+I7+I32</f>
        <v>196356.5</v>
      </c>
      <c r="J35" s="1">
        <f t="shared" si="3"/>
        <v>338666</v>
      </c>
      <c r="K35" s="1">
        <f t="shared" si="3"/>
        <v>0</v>
      </c>
      <c r="L35" s="1">
        <f t="shared" si="3"/>
        <v>89360</v>
      </c>
      <c r="M35" s="1">
        <f t="shared" si="3"/>
        <v>34350.119999999995</v>
      </c>
      <c r="N35" s="1">
        <f t="shared" si="3"/>
        <v>19504</v>
      </c>
      <c r="O35" s="1">
        <f t="shared" si="3"/>
        <v>0</v>
      </c>
      <c r="P35" s="1">
        <f t="shared" si="3"/>
        <v>0</v>
      </c>
    </row>
    <row r="36" spans="1:17" x14ac:dyDescent="0.25">
      <c r="B36" s="1">
        <f>SUM(D35:P35)</f>
        <v>1037962.24</v>
      </c>
      <c r="C36" t="s">
        <v>11</v>
      </c>
      <c r="J36" t="s">
        <v>37</v>
      </c>
    </row>
    <row r="37" spans="1:17" x14ac:dyDescent="0.25">
      <c r="J37" t="s">
        <v>38</v>
      </c>
    </row>
    <row r="38" spans="1:17" x14ac:dyDescent="0.25">
      <c r="J38" s="1"/>
      <c r="L38" s="1"/>
    </row>
    <row r="40" spans="1:17" x14ac:dyDescent="0.25">
      <c r="G40" s="1"/>
    </row>
  </sheetData>
  <printOptions gridLines="1"/>
  <pageMargins left="0.7" right="0.7" top="0.75" bottom="0.75" header="0.3" footer="0.3"/>
  <pageSetup scale="56" orientation="landscape" r:id="rId1"/>
  <headerFooter>
    <oddFooter>&amp;L&amp;Z&amp;F&amp;R&amp;D&amp;T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51222</vt:lpstr>
      <vt:lpstr>June 2022</vt:lpstr>
      <vt:lpstr>July 2022</vt:lpstr>
      <vt:lpstr>Sept 2022</vt:lpstr>
      <vt:lpstr>Jan 2023</vt:lpstr>
      <vt:lpstr>Apr 2023</vt:lpstr>
      <vt:lpstr>May 2023</vt:lpstr>
      <vt:lpstr>June 2023</vt:lpstr>
      <vt:lpstr>July 2023</vt:lpstr>
      <vt:lpstr>Aug 2023</vt:lpstr>
      <vt:lpstr>Sep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DuFresne</dc:creator>
  <cp:lastModifiedBy>Patricia DuFresne</cp:lastModifiedBy>
  <cp:lastPrinted>2023-08-04T16:19:56Z</cp:lastPrinted>
  <dcterms:created xsi:type="dcterms:W3CDTF">2022-02-17T14:22:38Z</dcterms:created>
  <dcterms:modified xsi:type="dcterms:W3CDTF">2023-10-03T14:24:11Z</dcterms:modified>
</cp:coreProperties>
</file>